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omments1.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enne_projektmappe"/>
  <mc:AlternateContent xmlns:mc="http://schemas.openxmlformats.org/markup-compatibility/2006">
    <mc:Choice Requires="x15">
      <x15ac:absPath xmlns:x15ac="http://schemas.microsoft.com/office/spreadsheetml/2010/11/ac" url="https://assaabloy-my.sharepoint.com/personal/torben_kristensen_assaabloy_com/Documents/Desktop/Privat/pizza/13/"/>
    </mc:Choice>
  </mc:AlternateContent>
  <xr:revisionPtr revIDLastSave="1" documentId="13_ncr:1_{9F79FF4D-0CE9-4E56-990D-8E6389BACC1C}" xr6:coauthVersionLast="47" xr6:coauthVersionMax="47" xr10:uidLastSave="{9D984807-D24E-47AE-9F73-690A9B76027C}"/>
  <bookViews>
    <workbookView showHorizontalScroll="0" showSheetTabs="0" xWindow="1905" yWindow="1905" windowWidth="23430" windowHeight="18090" tabRatio="931" xr2:uid="{9B95B01D-1D18-4ECD-9C13-04A6F9AFCFF6}"/>
  </bookViews>
  <sheets>
    <sheet name="HJEM" sheetId="20" r:id="rId1"/>
    <sheet name="Vito poolish" sheetId="11" r:id="rId2"/>
    <sheet name="Gorms pizzadej" sheetId="7" r:id="rId3"/>
    <sheet name="Umuts pizzadej" sheetId="22" r:id="rId4"/>
    <sheet name="Tony tiga+poolish" sheetId="35" r:id="rId5"/>
    <sheet name="Seb_24t" sheetId="33" r:id="rId6"/>
    <sheet name="Seb_biga" sheetId="40" r:id="rId7"/>
    <sheet name="PPAH_NY" sheetId="43" r:id="rId8"/>
    <sheet name="NY style" sheetId="38" r:id="rId9"/>
    <sheet name="NY_PizzaPal" sheetId="49" r:id="rId10"/>
    <sheet name="BK_Handaelt" sheetId="41" r:id="rId11"/>
    <sheet name="BK_napoli" sheetId="4" r:id="rId12"/>
    <sheet name="BK_poolish" sheetId="39" r:id="rId13"/>
    <sheet name="BK_surdej" sheetId="24" r:id="rId14"/>
    <sheet name="BK_bageenzym" sheetId="26" r:id="rId15"/>
    <sheet name="BK_biga_v1" sheetId="34" r:id="rId16"/>
    <sheet name="BK_biga_v2" sheetId="36" r:id="rId17"/>
    <sheet name="BK_detroit" sheetId="23" r:id="rId18"/>
    <sheet name="BK_glut_h" sheetId="48" r:id="rId19"/>
    <sheet name="Spread" sheetId="14" r:id="rId20"/>
    <sheet name="Beregnere" sheetId="29" r:id="rId21"/>
    <sheet name="Tomatsauce" sheetId="5" r:id="rId22"/>
    <sheet name="Mel" sheetId="32" r:id="rId23"/>
    <sheet name="Gær" sheetId="47" r:id="rId24"/>
    <sheet name="Vand" sheetId="44" r:id="rId25"/>
    <sheet name="Øvrigt" sheetId="18" r:id="rId26"/>
    <sheet name="Toppings" sheetId="6" r:id="rId27"/>
    <sheet name="Skaler" sheetId="37" r:id="rId28"/>
    <sheet name="Tips" sheetId="2" state="hidden" r:id="rId29"/>
  </sheets>
  <definedNames>
    <definedName name="_xlnm._FilterDatabase" localSheetId="15" hidden="1">BK_biga_v1!$C$6:$D$6</definedName>
    <definedName name="_xlnm._FilterDatabase" localSheetId="16" hidden="1">BK_biga_v2!$C$6:$D$6</definedName>
    <definedName name="_xlnm._FilterDatabase" localSheetId="12" hidden="1">BK_poolish!$C$6:$E$6</definedName>
    <definedName name="_xlnm._FilterDatabase" localSheetId="23" hidden="1">Gær!#REF!</definedName>
    <definedName name="_xlnm._FilterDatabase" localSheetId="22" hidden="1">Mel!$C$124:$M$145</definedName>
    <definedName name="_xlnm._FilterDatabase" localSheetId="6" hidden="1">Seb_biga!$C$6:$D$6</definedName>
    <definedName name="_xlnm._FilterDatabase" localSheetId="4" hidden="1">'Tony tiga+poolish'!$C$7:$D$7</definedName>
    <definedName name="_xlnm._FilterDatabase" localSheetId="1" hidden="1">'Vito poolish'!$C$14:$E$16</definedName>
    <definedName name="_xleta.IF" hidden="1" xlm="1">#NAME?</definedName>
    <definedName name="_xleta.VLOOKUP" hidden="1" xlm="1">#NAME?</definedName>
    <definedName name="_xlnm.Print_Area" localSheetId="14">BK_bageenzym!$B$15:$N$53</definedName>
    <definedName name="_xlnm.Print_Area" localSheetId="15">BK_biga_v1!$B$13:$N$62</definedName>
    <definedName name="_xlnm.Print_Area" localSheetId="16">BK_biga_v2!$B$13:$M$58</definedName>
    <definedName name="_xlnm.Print_Area" localSheetId="17">BK_detroit!$B$18:$N$58</definedName>
    <definedName name="_xlnm.Print_Area" localSheetId="18">BK_glut_h!$B$15:$O$53</definedName>
    <definedName name="_xlnm.Print_Area" localSheetId="10">BK_Handaelt!$B$13:$N$51</definedName>
    <definedName name="_xlnm.Print_Area" localSheetId="11">BK_napoli!$B$13:$N$64</definedName>
    <definedName name="_xlnm.Print_Area" localSheetId="12">BK_poolish!$B$13:$M$63</definedName>
    <definedName name="_xlnm.Print_Area" localSheetId="13">BK_surdej!$B$13:$N$48</definedName>
    <definedName name="_xlnm.Print_Area" localSheetId="2">'Gorms pizzadej'!$B$19:$L$56</definedName>
    <definedName name="_xlnm.Print_Area" localSheetId="8">'NY style'!$B$18:$O$71</definedName>
    <definedName name="_xlnm.Print_Area" localSheetId="9">NY_PizzaPal!$B$15:$N$74</definedName>
    <definedName name="_xlnm.Print_Area" localSheetId="7">PPAH_NY!$B$15:$N$53</definedName>
    <definedName name="_xlnm.Print_Area" localSheetId="5">Seb_24t!$B$13:$N$46</definedName>
    <definedName name="_xlnm.Print_Area" localSheetId="6">Seb_biga!$B$14:$N$54</definedName>
    <definedName name="_xlnm.Print_Area" localSheetId="27">Skaler!$I$5:$O$28</definedName>
    <definedName name="_xlnm.Print_Area" localSheetId="19">Spread!$B$5:$L$69</definedName>
    <definedName name="_xlnm.Print_Area" localSheetId="21">Tomatsauce!$B$5:$K$28,Tomatsauce!$B$43:$K$71</definedName>
    <definedName name="_xlnm.Print_Area" localSheetId="4">'Tony tiga+poolish'!$B$18:$M$85</definedName>
    <definedName name="_xlnm.Print_Area" localSheetId="26">Toppings!$B:$P</definedName>
    <definedName name="_xlnm.Print_Area" localSheetId="3">'Umuts pizzadej'!$B$17:$K$46</definedName>
    <definedName name="_xlnm.Print_Area" localSheetId="1">'Vito poolish'!$C$22:$N$77</definedName>
    <definedName name="_xlnm.Print_Area" localSheetId="25">Øvrigt!$B$5:$L$15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9" i="37" l="1"/>
  <c r="R18" i="37"/>
  <c r="S17" i="37"/>
  <c r="R20" i="37"/>
  <c r="E27" i="37"/>
  <c r="G62" i="29"/>
  <c r="G60" i="29"/>
  <c r="G58" i="29"/>
  <c r="G56" i="29"/>
  <c r="G54" i="29"/>
  <c r="G43" i="29"/>
  <c r="D25" i="11"/>
  <c r="D53" i="40"/>
  <c r="S20" i="40"/>
  <c r="Q15" i="40"/>
  <c r="T18" i="40"/>
  <c r="S18" i="40"/>
  <c r="Q18" i="40"/>
  <c r="D49" i="40"/>
  <c r="F52" i="29"/>
  <c r="D54" i="29"/>
  <c r="F54" i="29" s="1"/>
  <c r="D62" i="29"/>
  <c r="F62" i="29" s="1"/>
  <c r="D60" i="29"/>
  <c r="F60" i="29" s="1"/>
  <c r="D58" i="29"/>
  <c r="F58" i="29" s="1"/>
  <c r="D56" i="29"/>
  <c r="F56" i="29" s="1"/>
  <c r="E52" i="29"/>
  <c r="T9" i="49" l="1"/>
  <c r="S9" i="38"/>
  <c r="T9" i="43"/>
  <c r="R9" i="40"/>
  <c r="S9" i="33"/>
  <c r="R9" i="35"/>
  <c r="S9" i="48"/>
  <c r="R9" i="36"/>
  <c r="R9" i="34"/>
  <c r="S9" i="26"/>
  <c r="S9" i="24"/>
  <c r="R9" i="39"/>
  <c r="S9" i="4"/>
  <c r="S24" i="4" s="1"/>
  <c r="S26" i="4" l="1"/>
  <c r="R26" i="4" s="1"/>
  <c r="S25" i="4"/>
  <c r="M60" i="4" l="1"/>
  <c r="H66" i="43" l="1"/>
  <c r="C68" i="43"/>
  <c r="C67" i="43"/>
  <c r="C65" i="43"/>
  <c r="C64" i="43"/>
  <c r="C63" i="43"/>
  <c r="G69" i="49"/>
  <c r="G66" i="49"/>
  <c r="G68" i="49"/>
  <c r="G67" i="49"/>
  <c r="G65" i="49"/>
  <c r="G64" i="49"/>
  <c r="C69" i="49"/>
  <c r="C68" i="49"/>
  <c r="C67" i="49"/>
  <c r="C64" i="49"/>
  <c r="C66" i="49"/>
  <c r="N22" i="48"/>
  <c r="N23" i="48"/>
  <c r="N21" i="48"/>
  <c r="N20" i="48"/>
  <c r="M11" i="48"/>
  <c r="M26" i="23"/>
  <c r="M25" i="23"/>
  <c r="M24" i="23"/>
  <c r="M23" i="23"/>
  <c r="B7" i="26"/>
  <c r="Y7" i="26"/>
  <c r="N20" i="26" s="1"/>
  <c r="N21" i="24"/>
  <c r="N20" i="24"/>
  <c r="N18" i="24"/>
  <c r="N21" i="4"/>
  <c r="N20" i="4"/>
  <c r="N19" i="4"/>
  <c r="N21" i="41"/>
  <c r="N20" i="41"/>
  <c r="N19" i="41"/>
  <c r="N26" i="43"/>
  <c r="N25" i="43"/>
  <c r="N24" i="43"/>
  <c r="N23" i="43"/>
  <c r="N21" i="43"/>
  <c r="N21" i="33"/>
  <c r="N20" i="33"/>
  <c r="N18" i="33"/>
  <c r="K31" i="7"/>
  <c r="K30" i="7"/>
  <c r="K28" i="7"/>
  <c r="K27" i="7"/>
  <c r="K25" i="7"/>
  <c r="N26" i="49"/>
  <c r="N25" i="49"/>
  <c r="N24" i="49"/>
  <c r="N23" i="49"/>
  <c r="N21" i="49"/>
  <c r="X9" i="43"/>
  <c r="X10" i="43"/>
  <c r="X12" i="43"/>
  <c r="X13" i="43"/>
  <c r="X8" i="43"/>
  <c r="D61" i="49"/>
  <c r="D63" i="49"/>
  <c r="D70" i="49"/>
  <c r="C65" i="49"/>
  <c r="C63" i="49"/>
  <c r="D49" i="49"/>
  <c r="M21" i="49"/>
  <c r="U17" i="49"/>
  <c r="T19" i="49" s="1"/>
  <c r="L31" i="49" s="1"/>
  <c r="L19" i="49"/>
  <c r="C15" i="49"/>
  <c r="Y13" i="49"/>
  <c r="J13" i="49"/>
  <c r="C13" i="49"/>
  <c r="AD12" i="49"/>
  <c r="Y11" i="49" s="1"/>
  <c r="L11" i="49" s="1"/>
  <c r="AC12" i="49"/>
  <c r="M22" i="49" s="1"/>
  <c r="Y12" i="49"/>
  <c r="J12" i="49"/>
  <c r="F11" i="49"/>
  <c r="Z10" i="49"/>
  <c r="Y10" i="49"/>
  <c r="J10" i="49"/>
  <c r="Z9" i="49"/>
  <c r="Y9" i="49"/>
  <c r="J9" i="49"/>
  <c r="Z8" i="49"/>
  <c r="D57" i="35"/>
  <c r="D56" i="4"/>
  <c r="D49" i="4"/>
  <c r="D49" i="35"/>
  <c r="D77" i="35"/>
  <c r="D32" i="36"/>
  <c r="D51" i="36"/>
  <c r="C38" i="34"/>
  <c r="D61" i="34"/>
  <c r="D56" i="36"/>
  <c r="S21" i="36"/>
  <c r="C27" i="34"/>
  <c r="D34" i="34"/>
  <c r="D55" i="34"/>
  <c r="N22" i="49" l="1"/>
  <c r="L22" i="49"/>
  <c r="M35" i="49" s="1"/>
  <c r="L21" i="49"/>
  <c r="M31" i="49"/>
  <c r="T20" i="49"/>
  <c r="L53" i="49" s="1"/>
  <c r="L24" i="49"/>
  <c r="M37" i="49" s="1"/>
  <c r="L23" i="49"/>
  <c r="M41" i="49" s="1"/>
  <c r="L25" i="49"/>
  <c r="M33" i="49" s="1"/>
  <c r="L26" i="49"/>
  <c r="M45" i="49" s="1"/>
  <c r="Z11" i="49"/>
  <c r="C20" i="49"/>
  <c r="K52" i="23"/>
  <c r="R20" i="35"/>
  <c r="S26" i="35"/>
  <c r="D51" i="35"/>
  <c r="Q17" i="35"/>
  <c r="D39" i="35"/>
  <c r="T20" i="38"/>
  <c r="D61" i="38"/>
  <c r="M39" i="49" l="1"/>
  <c r="M43" i="49"/>
  <c r="L27" i="49"/>
  <c r="M53" i="49"/>
  <c r="S20" i="49"/>
  <c r="S17" i="49"/>
  <c r="R28" i="35"/>
  <c r="S22" i="38"/>
  <c r="M32" i="38" l="1"/>
  <c r="L32" i="38"/>
  <c r="M37" i="35"/>
  <c r="L53" i="35"/>
  <c r="L37" i="35"/>
  <c r="L49" i="35"/>
  <c r="L51" i="35"/>
  <c r="S14" i="49"/>
  <c r="C53" i="49"/>
  <c r="S23" i="38"/>
  <c r="L59" i="38" s="1"/>
  <c r="R29" i="35"/>
  <c r="R30" i="35"/>
  <c r="L80" i="35" s="1"/>
  <c r="K7" i="48"/>
  <c r="Z9" i="48"/>
  <c r="Y7" i="48"/>
  <c r="Y11" i="48"/>
  <c r="N24" i="48" s="1"/>
  <c r="D39" i="48"/>
  <c r="T18" i="48"/>
  <c r="S20" i="48" s="1"/>
  <c r="C15" i="48"/>
  <c r="AD11" i="48"/>
  <c r="AC11" i="48"/>
  <c r="Z11" i="48" s="1"/>
  <c r="Z10" i="48"/>
  <c r="Y10" i="48"/>
  <c r="L10" i="48"/>
  <c r="Y9" i="48"/>
  <c r="L9" i="48"/>
  <c r="I10" i="48"/>
  <c r="Z8" i="48"/>
  <c r="Y8" i="48"/>
  <c r="K19" i="48" s="1"/>
  <c r="L8" i="48"/>
  <c r="Z7" i="48"/>
  <c r="L7" i="48"/>
  <c r="T20" i="26"/>
  <c r="R23" i="36"/>
  <c r="U19" i="43"/>
  <c r="T21" i="43" s="1"/>
  <c r="L31" i="43" s="1"/>
  <c r="V15" i="40"/>
  <c r="X19" i="40"/>
  <c r="W26" i="40"/>
  <c r="X28" i="40" s="1"/>
  <c r="X26" i="40"/>
  <c r="S41" i="40"/>
  <c r="R22" i="40"/>
  <c r="R24" i="40" s="1"/>
  <c r="T18" i="33"/>
  <c r="S20" i="33"/>
  <c r="K25" i="33" s="1"/>
  <c r="S15" i="23"/>
  <c r="R17" i="23" s="1"/>
  <c r="T38" i="24"/>
  <c r="T19" i="24"/>
  <c r="S21" i="24" s="1"/>
  <c r="S21" i="34"/>
  <c r="R23" i="34" s="1"/>
  <c r="T22" i="4"/>
  <c r="K25" i="4" s="1"/>
  <c r="S23" i="39"/>
  <c r="R25" i="39" s="1"/>
  <c r="K27" i="39" s="1"/>
  <c r="D62" i="4"/>
  <c r="H25" i="11"/>
  <c r="J34" i="29"/>
  <c r="F16" i="23"/>
  <c r="C26" i="23" s="1"/>
  <c r="B24" i="23"/>
  <c r="B25" i="23"/>
  <c r="D50" i="23"/>
  <c r="D52" i="23"/>
  <c r="J29" i="7"/>
  <c r="D9" i="7"/>
  <c r="H23" i="7"/>
  <c r="G10" i="7"/>
  <c r="Q15" i="7"/>
  <c r="T10" i="7" s="1"/>
  <c r="P15" i="7"/>
  <c r="AC11" i="26"/>
  <c r="C18" i="26" s="1"/>
  <c r="D50" i="7"/>
  <c r="I51" i="47"/>
  <c r="H51" i="47"/>
  <c r="I41" i="47"/>
  <c r="H41" i="47"/>
  <c r="I28" i="47"/>
  <c r="H28" i="47"/>
  <c r="M20" i="44"/>
  <c r="M19" i="44"/>
  <c r="M18" i="44"/>
  <c r="M16" i="44"/>
  <c r="I16" i="44"/>
  <c r="D60" i="43"/>
  <c r="T44" i="39"/>
  <c r="U38" i="26"/>
  <c r="R23" i="40" l="1"/>
  <c r="M51" i="40"/>
  <c r="L27" i="40"/>
  <c r="M47" i="35"/>
  <c r="L47" i="35"/>
  <c r="L29" i="48"/>
  <c r="K29" i="48"/>
  <c r="M23" i="24"/>
  <c r="K23" i="24"/>
  <c r="M29" i="23"/>
  <c r="M26" i="36"/>
  <c r="L26" i="36"/>
  <c r="M27" i="34"/>
  <c r="K27" i="34"/>
  <c r="R26" i="39"/>
  <c r="M27" i="39"/>
  <c r="S21" i="33"/>
  <c r="K40" i="33" s="1"/>
  <c r="L25" i="33"/>
  <c r="K26" i="7"/>
  <c r="G15" i="7"/>
  <c r="J26" i="7"/>
  <c r="U10" i="7"/>
  <c r="I29" i="7"/>
  <c r="M25" i="4"/>
  <c r="M27" i="40"/>
  <c r="R25" i="36"/>
  <c r="R24" i="36"/>
  <c r="M80" i="35"/>
  <c r="Q26" i="35"/>
  <c r="R20" i="38"/>
  <c r="M59" i="38"/>
  <c r="T22" i="43"/>
  <c r="L50" i="43" s="1"/>
  <c r="M31" i="43"/>
  <c r="R23" i="38"/>
  <c r="R16" i="38" s="1"/>
  <c r="Q29" i="35"/>
  <c r="Q30" i="35"/>
  <c r="Q22" i="35" s="1"/>
  <c r="C19" i="48"/>
  <c r="K20" i="48"/>
  <c r="K23" i="48"/>
  <c r="S21" i="48"/>
  <c r="K24" i="48"/>
  <c r="L24" i="48"/>
  <c r="K21" i="48"/>
  <c r="K22" i="48"/>
  <c r="B26" i="23"/>
  <c r="S22" i="24"/>
  <c r="R24" i="34"/>
  <c r="R25" i="34"/>
  <c r="R27" i="39"/>
  <c r="I26" i="7"/>
  <c r="I31" i="7"/>
  <c r="I30" i="7"/>
  <c r="I27" i="7"/>
  <c r="I25" i="7"/>
  <c r="I28" i="7"/>
  <c r="T44" i="4"/>
  <c r="Y8" i="35"/>
  <c r="Y12" i="35"/>
  <c r="Y25" i="35"/>
  <c r="Y10" i="35" s="1"/>
  <c r="Z25" i="35"/>
  <c r="I25" i="35"/>
  <c r="M58" i="35"/>
  <c r="C13" i="35"/>
  <c r="D62" i="43"/>
  <c r="C66" i="43"/>
  <c r="D35" i="43"/>
  <c r="C62" i="43"/>
  <c r="D37" i="35"/>
  <c r="C13" i="43"/>
  <c r="D44" i="43"/>
  <c r="J13" i="43"/>
  <c r="J12" i="43"/>
  <c r="M21" i="43"/>
  <c r="C15" i="43"/>
  <c r="Y13" i="43"/>
  <c r="AD12" i="43"/>
  <c r="Y11" i="43" s="1"/>
  <c r="AC12" i="43"/>
  <c r="Y12" i="43"/>
  <c r="F11" i="43"/>
  <c r="Z10" i="43"/>
  <c r="Y10" i="43"/>
  <c r="J10" i="43"/>
  <c r="Z9" i="43"/>
  <c r="Y9" i="43"/>
  <c r="L19" i="43" s="1"/>
  <c r="J9" i="43"/>
  <c r="Z8" i="43"/>
  <c r="G14" i="35"/>
  <c r="G21" i="22"/>
  <c r="Y9" i="41"/>
  <c r="Y8" i="41"/>
  <c r="D42" i="41"/>
  <c r="U28" i="41"/>
  <c r="C13" i="41"/>
  <c r="AD11" i="41"/>
  <c r="Y10" i="41" s="1"/>
  <c r="AC11" i="41"/>
  <c r="H10" i="41"/>
  <c r="L9" i="41"/>
  <c r="J17" i="41"/>
  <c r="L8" i="41"/>
  <c r="I25" i="33"/>
  <c r="D29" i="40"/>
  <c r="D47" i="40"/>
  <c r="E51" i="40"/>
  <c r="C51" i="40"/>
  <c r="C14" i="40"/>
  <c r="C53" i="40"/>
  <c r="W11" i="40"/>
  <c r="W12" i="40"/>
  <c r="Q24" i="40" l="1"/>
  <c r="Q17" i="40" s="1"/>
  <c r="Q23" i="40"/>
  <c r="Q14" i="40" s="1"/>
  <c r="L51" i="40"/>
  <c r="L37" i="40"/>
  <c r="L49" i="48"/>
  <c r="K49" i="48"/>
  <c r="M59" i="34"/>
  <c r="K59" i="34"/>
  <c r="M38" i="34"/>
  <c r="K38" i="34"/>
  <c r="M44" i="24"/>
  <c r="K44" i="24"/>
  <c r="M38" i="39"/>
  <c r="K38" i="39"/>
  <c r="M60" i="39"/>
  <c r="K60" i="39"/>
  <c r="M34" i="36"/>
  <c r="L34" i="36"/>
  <c r="Q25" i="36"/>
  <c r="C54" i="36" s="1"/>
  <c r="L54" i="36"/>
  <c r="M47" i="4"/>
  <c r="K47" i="4"/>
  <c r="C60" i="4"/>
  <c r="K60" i="4"/>
  <c r="K33" i="48"/>
  <c r="K31" i="48"/>
  <c r="N10" i="41"/>
  <c r="N22" i="41"/>
  <c r="M50" i="43"/>
  <c r="S19" i="43"/>
  <c r="L11" i="43"/>
  <c r="N22" i="43"/>
  <c r="R21" i="33"/>
  <c r="R15" i="33" s="1"/>
  <c r="L40" i="33"/>
  <c r="I39" i="7"/>
  <c r="X11" i="43"/>
  <c r="M22" i="43"/>
  <c r="C27" i="43"/>
  <c r="I37" i="7"/>
  <c r="M37" i="40"/>
  <c r="Q18" i="36"/>
  <c r="M54" i="36"/>
  <c r="S22" i="43"/>
  <c r="Q15" i="35"/>
  <c r="C47" i="35"/>
  <c r="C80" i="35"/>
  <c r="R21" i="48"/>
  <c r="R15" i="48" s="1"/>
  <c r="C49" i="48"/>
  <c r="R22" i="24"/>
  <c r="C44" i="24" s="1"/>
  <c r="Q27" i="39"/>
  <c r="C60" i="39" s="1"/>
  <c r="Q20" i="39"/>
  <c r="Q25" i="34"/>
  <c r="B59" i="34" s="1"/>
  <c r="Q18" i="34"/>
  <c r="I41" i="7"/>
  <c r="I32" i="7"/>
  <c r="L25" i="43"/>
  <c r="L26" i="43"/>
  <c r="L21" i="43"/>
  <c r="Z11" i="43"/>
  <c r="L24" i="43"/>
  <c r="L34" i="43" s="1"/>
  <c r="L23" i="43"/>
  <c r="L22" i="43"/>
  <c r="K22" i="41"/>
  <c r="K19" i="41"/>
  <c r="K20" i="41"/>
  <c r="Z10" i="41"/>
  <c r="K21" i="41"/>
  <c r="L22" i="41"/>
  <c r="W7" i="40"/>
  <c r="W9" i="40"/>
  <c r="H17" i="40" s="1"/>
  <c r="W8" i="40"/>
  <c r="J21" i="40"/>
  <c r="J20" i="40"/>
  <c r="J24" i="40"/>
  <c r="C11" i="40"/>
  <c r="I51" i="40"/>
  <c r="G51" i="40"/>
  <c r="I37" i="40"/>
  <c r="I27" i="40" s="1"/>
  <c r="G37" i="40"/>
  <c r="E37" i="40"/>
  <c r="E27" i="40" s="1"/>
  <c r="C37" i="40"/>
  <c r="G27" i="40"/>
  <c r="C27" i="40"/>
  <c r="AB11" i="40"/>
  <c r="AA11" i="40"/>
  <c r="F9" i="40"/>
  <c r="C65" i="11"/>
  <c r="B8" i="24"/>
  <c r="Y9" i="26"/>
  <c r="N22" i="26" s="1"/>
  <c r="Z9" i="26"/>
  <c r="M23" i="39"/>
  <c r="D53" i="39"/>
  <c r="D42" i="39"/>
  <c r="J20" i="39"/>
  <c r="C13" i="39"/>
  <c r="AC11" i="39"/>
  <c r="X11" i="39" s="1"/>
  <c r="K10" i="39" s="1"/>
  <c r="AB11" i="39"/>
  <c r="X10" i="39"/>
  <c r="F9" i="39"/>
  <c r="X9" i="39"/>
  <c r="H17" i="39" s="1"/>
  <c r="X8" i="39"/>
  <c r="X7" i="39" s="1"/>
  <c r="D51" i="34"/>
  <c r="J11" i="34"/>
  <c r="D40" i="38"/>
  <c r="AC12" i="38"/>
  <c r="X13" i="38" s="1"/>
  <c r="N13" i="38" s="1"/>
  <c r="AB12" i="38"/>
  <c r="Y13" i="38" s="1"/>
  <c r="C19" i="38"/>
  <c r="C18" i="35"/>
  <c r="B17" i="22"/>
  <c r="C10" i="22"/>
  <c r="C19" i="7"/>
  <c r="D31" i="11"/>
  <c r="D29" i="11"/>
  <c r="Z59" i="11"/>
  <c r="Y59" i="11"/>
  <c r="X18" i="11" s="1"/>
  <c r="C22" i="11"/>
  <c r="AC11" i="4"/>
  <c r="X10" i="4" s="1"/>
  <c r="AB11" i="4"/>
  <c r="C16" i="4" s="1"/>
  <c r="AD11" i="26"/>
  <c r="Y12" i="26" s="1"/>
  <c r="M12" i="26" l="1"/>
  <c r="N25" i="26"/>
  <c r="C16" i="39"/>
  <c r="D31" i="39"/>
  <c r="N10" i="4"/>
  <c r="N22" i="4"/>
  <c r="N28" i="38"/>
  <c r="C50" i="43"/>
  <c r="S16" i="43"/>
  <c r="R16" i="24"/>
  <c r="R19" i="4"/>
  <c r="L25" i="26"/>
  <c r="J21" i="39"/>
  <c r="D29" i="39"/>
  <c r="L33" i="43"/>
  <c r="L35" i="43"/>
  <c r="M27" i="35"/>
  <c r="L27" i="43"/>
  <c r="L30" i="41"/>
  <c r="L29" i="41"/>
  <c r="L27" i="41"/>
  <c r="W10" i="40"/>
  <c r="K11" i="40" s="1"/>
  <c r="J22" i="40"/>
  <c r="J23" i="40"/>
  <c r="X10" i="40"/>
  <c r="L23" i="39"/>
  <c r="L43" i="39" s="1"/>
  <c r="L21" i="39"/>
  <c r="L48" i="39" s="1"/>
  <c r="I19" i="39"/>
  <c r="L19" i="39" s="1"/>
  <c r="Y11" i="39"/>
  <c r="L28" i="38"/>
  <c r="J27" i="35"/>
  <c r="I30" i="11"/>
  <c r="Y10" i="4"/>
  <c r="L22" i="4"/>
  <c r="Z12" i="26"/>
  <c r="AB11" i="34"/>
  <c r="AA11" i="34"/>
  <c r="C16" i="34" s="1"/>
  <c r="AB11" i="36"/>
  <c r="AA11" i="36"/>
  <c r="AC12" i="33"/>
  <c r="X11" i="33" s="1"/>
  <c r="AC11" i="23"/>
  <c r="X11" i="23" s="1"/>
  <c r="AB11" i="23"/>
  <c r="K27" i="23" s="1"/>
  <c r="AB12" i="33"/>
  <c r="M19" i="33" s="1"/>
  <c r="K24" i="23"/>
  <c r="C18" i="23"/>
  <c r="C13" i="4"/>
  <c r="C15" i="26"/>
  <c r="C13" i="24"/>
  <c r="C13" i="36"/>
  <c r="C13" i="34"/>
  <c r="M11" i="33"/>
  <c r="C13" i="33"/>
  <c r="M20" i="33"/>
  <c r="K11" i="23" l="1"/>
  <c r="M27" i="23"/>
  <c r="L11" i="33"/>
  <c r="N19" i="33"/>
  <c r="X9" i="36"/>
  <c r="C16" i="36"/>
  <c r="L21" i="40"/>
  <c r="L42" i="40" s="1"/>
  <c r="I24" i="40"/>
  <c r="I20" i="40"/>
  <c r="I21" i="40"/>
  <c r="L32" i="40" s="1"/>
  <c r="I21" i="39"/>
  <c r="I20" i="39"/>
  <c r="L20" i="39" s="1"/>
  <c r="L42" i="39" s="1"/>
  <c r="L30" i="39"/>
  <c r="D29" i="34"/>
  <c r="Y11" i="23"/>
  <c r="J22" i="34"/>
  <c r="X9" i="34"/>
  <c r="W9" i="34"/>
  <c r="K9" i="34" s="1"/>
  <c r="J21" i="36"/>
  <c r="W9" i="36"/>
  <c r="K9" i="36" s="1"/>
  <c r="J22" i="36"/>
  <c r="Y11" i="33"/>
  <c r="L31" i="40" l="1"/>
  <c r="I23" i="40"/>
  <c r="I22" i="40"/>
  <c r="L29" i="39"/>
  <c r="L22" i="39"/>
  <c r="E22" i="29"/>
  <c r="D22" i="29"/>
  <c r="C20" i="29"/>
  <c r="C19" i="29"/>
  <c r="C26" i="29"/>
  <c r="D24" i="29"/>
  <c r="D23" i="29"/>
  <c r="P23" i="29"/>
  <c r="U20" i="29"/>
  <c r="U19" i="29"/>
  <c r="R26" i="29"/>
  <c r="R25" i="29"/>
  <c r="R24" i="29"/>
  <c r="R23" i="29"/>
  <c r="P26" i="29"/>
  <c r="P25" i="29"/>
  <c r="P24" i="29"/>
  <c r="B8" i="38"/>
  <c r="L23" i="38"/>
  <c r="M8" i="38"/>
  <c r="Y8" i="38"/>
  <c r="L24" i="38"/>
  <c r="X9" i="38"/>
  <c r="X8" i="38" s="1"/>
  <c r="L8" i="38" s="1"/>
  <c r="Y9" i="38"/>
  <c r="M10" i="38"/>
  <c r="X10" i="38"/>
  <c r="Y10" i="38"/>
  <c r="I11" i="38"/>
  <c r="L26" i="38"/>
  <c r="M11" i="38"/>
  <c r="X11" i="38"/>
  <c r="N26" i="38" s="1"/>
  <c r="Y11" i="38"/>
  <c r="M12" i="38"/>
  <c r="X12" i="38"/>
  <c r="N27" i="38" s="1"/>
  <c r="Y12" i="38"/>
  <c r="B14" i="38"/>
  <c r="X14" i="38" s="1"/>
  <c r="N29" i="38" s="1"/>
  <c r="L29" i="38"/>
  <c r="M14" i="38"/>
  <c r="Y14" i="38"/>
  <c r="D34" i="38"/>
  <c r="T40" i="38"/>
  <c r="K22" i="38" l="1"/>
  <c r="N25" i="38"/>
  <c r="L29" i="40"/>
  <c r="L22" i="40"/>
  <c r="L20" i="40"/>
  <c r="L39" i="40" s="1"/>
  <c r="L24" i="39"/>
  <c r="W26" i="29"/>
  <c r="J26" i="29" s="1"/>
  <c r="W24" i="29"/>
  <c r="J24" i="29" s="1"/>
  <c r="U24" i="29"/>
  <c r="H24" i="29" s="1"/>
  <c r="U26" i="29"/>
  <c r="H26" i="29" s="1"/>
  <c r="U25" i="29"/>
  <c r="H25" i="29" s="1"/>
  <c r="W23" i="29"/>
  <c r="U23" i="29"/>
  <c r="H23" i="29" s="1"/>
  <c r="W25" i="29"/>
  <c r="J25" i="29" s="1"/>
  <c r="K24" i="38"/>
  <c r="K27" i="38"/>
  <c r="K42" i="38" s="1"/>
  <c r="K28" i="38"/>
  <c r="K40" i="38" s="1"/>
  <c r="K29" i="38"/>
  <c r="K25" i="38"/>
  <c r="K26" i="38"/>
  <c r="K23" i="38"/>
  <c r="K34" i="38" l="1"/>
  <c r="C27" i="29"/>
  <c r="J23" i="29"/>
  <c r="K35" i="38"/>
  <c r="I40" i="33" l="1"/>
  <c r="H25" i="33"/>
  <c r="H40" i="33"/>
  <c r="Y8" i="33"/>
  <c r="D42" i="33"/>
  <c r="X9" i="33"/>
  <c r="L17" i="33" s="1"/>
  <c r="X10" i="33"/>
  <c r="L12" i="11"/>
  <c r="L11" i="11"/>
  <c r="J19" i="11" s="1"/>
  <c r="L10" i="11"/>
  <c r="J18" i="11" s="1"/>
  <c r="L9" i="11"/>
  <c r="L8" i="11"/>
  <c r="J16" i="11" s="1"/>
  <c r="L7" i="11"/>
  <c r="J15" i="11" s="1"/>
  <c r="Y13" i="11"/>
  <c r="G16" i="37"/>
  <c r="G19" i="37"/>
  <c r="C29" i="37" s="1"/>
  <c r="G20" i="37"/>
  <c r="G21" i="37"/>
  <c r="F18" i="37"/>
  <c r="F17" i="37"/>
  <c r="F16" i="37"/>
  <c r="W18" i="11" l="1"/>
  <c r="N17" i="11" s="1"/>
  <c r="J17" i="11"/>
  <c r="M18" i="37"/>
  <c r="G23" i="37"/>
  <c r="G24" i="37"/>
  <c r="G25" i="37"/>
  <c r="G26" i="37"/>
  <c r="G22" i="37"/>
  <c r="M24" i="37"/>
  <c r="M25" i="37"/>
  <c r="M26" i="37"/>
  <c r="L23" i="37"/>
  <c r="L24" i="37"/>
  <c r="L25" i="37"/>
  <c r="L26" i="37"/>
  <c r="L22" i="37"/>
  <c r="L21" i="37"/>
  <c r="L19" i="37"/>
  <c r="L10" i="37"/>
  <c r="G27" i="37" l="1"/>
  <c r="M22" i="37" s="1"/>
  <c r="M20" i="37" l="1"/>
  <c r="M23" i="37"/>
  <c r="M17" i="37"/>
  <c r="M19" i="37"/>
  <c r="M16" i="37"/>
  <c r="M21" i="37"/>
  <c r="M27" i="37" l="1"/>
  <c r="G54" i="36"/>
  <c r="G34" i="36"/>
  <c r="G26" i="36"/>
  <c r="D47" i="36"/>
  <c r="T39" i="33"/>
  <c r="S35" i="23"/>
  <c r="T36" i="11"/>
  <c r="S43" i="34"/>
  <c r="T43" i="36"/>
  <c r="M33" i="35"/>
  <c r="W10" i="36"/>
  <c r="F10" i="36"/>
  <c r="W8" i="36"/>
  <c r="H17" i="36" s="1"/>
  <c r="D41" i="35"/>
  <c r="D75" i="35"/>
  <c r="D60" i="35"/>
  <c r="C12" i="35"/>
  <c r="X8" i="35" s="1"/>
  <c r="C11" i="35"/>
  <c r="X12" i="35" s="1"/>
  <c r="C10" i="35"/>
  <c r="C9" i="35"/>
  <c r="X11" i="35" s="1"/>
  <c r="C8" i="35"/>
  <c r="X9" i="35" s="1"/>
  <c r="D13" i="35"/>
  <c r="G10" i="35"/>
  <c r="M20" i="34"/>
  <c r="I19" i="34"/>
  <c r="Y8" i="26"/>
  <c r="N21" i="26" s="1"/>
  <c r="G27" i="34"/>
  <c r="G38" i="34"/>
  <c r="W10" i="34"/>
  <c r="W11" i="34"/>
  <c r="D46" i="34" s="1"/>
  <c r="W8" i="34"/>
  <c r="X10" i="35" l="1"/>
  <c r="L30" i="35" s="1"/>
  <c r="N10" i="35"/>
  <c r="B23" i="23"/>
  <c r="I20" i="36"/>
  <c r="L21" i="36"/>
  <c r="L42" i="36" s="1"/>
  <c r="G59" i="34"/>
  <c r="F10" i="34"/>
  <c r="Y10" i="33"/>
  <c r="J10" i="33"/>
  <c r="F11" i="33"/>
  <c r="Y9" i="33"/>
  <c r="J9" i="33"/>
  <c r="J104" i="32"/>
  <c r="I103" i="32"/>
  <c r="K103" i="32" s="1"/>
  <c r="G116" i="32"/>
  <c r="H116" i="32" s="1"/>
  <c r="H115" i="32"/>
  <c r="J38" i="29"/>
  <c r="AA48" i="11"/>
  <c r="C68" i="11"/>
  <c r="C70" i="11"/>
  <c r="C66" i="11"/>
  <c r="M57" i="35" l="1"/>
  <c r="I28" i="35"/>
  <c r="I27" i="35" s="1"/>
  <c r="I21" i="36"/>
  <c r="L29" i="36"/>
  <c r="I22" i="36"/>
  <c r="H23" i="35"/>
  <c r="I59" i="34"/>
  <c r="I20" i="34"/>
  <c r="I22" i="34" s="1"/>
  <c r="H17" i="34"/>
  <c r="L22" i="34"/>
  <c r="I104" i="32"/>
  <c r="K104" i="32" s="1"/>
  <c r="K102" i="32"/>
  <c r="W19" i="11"/>
  <c r="L28" i="36" l="1"/>
  <c r="L22" i="36"/>
  <c r="L20" i="36"/>
  <c r="L36" i="36" s="1"/>
  <c r="I21" i="34"/>
  <c r="L29" i="34" s="1"/>
  <c r="L20" i="34"/>
  <c r="L30" i="34"/>
  <c r="L19" i="33"/>
  <c r="L20" i="33"/>
  <c r="L29" i="33" s="1"/>
  <c r="L21" i="33"/>
  <c r="L31" i="33" s="1"/>
  <c r="L18" i="33"/>
  <c r="W16" i="11"/>
  <c r="H26" i="11" s="1"/>
  <c r="W20" i="11"/>
  <c r="W17" i="11"/>
  <c r="X20" i="11"/>
  <c r="X17" i="11"/>
  <c r="X16" i="11"/>
  <c r="E17" i="11"/>
  <c r="L33" i="11" s="1"/>
  <c r="Y10" i="26"/>
  <c r="N23" i="26" s="1"/>
  <c r="Y11" i="26"/>
  <c r="N24" i="26" s="1"/>
  <c r="K19" i="26"/>
  <c r="Z8" i="26"/>
  <c r="Z10" i="26"/>
  <c r="Z11" i="26"/>
  <c r="Z7" i="26"/>
  <c r="L9" i="26"/>
  <c r="L10" i="26"/>
  <c r="L11" i="26"/>
  <c r="L7" i="26"/>
  <c r="Y11" i="24"/>
  <c r="Y10" i="24"/>
  <c r="Y9" i="24"/>
  <c r="Y8" i="24"/>
  <c r="L9" i="24"/>
  <c r="L10" i="24"/>
  <c r="L11" i="24"/>
  <c r="X11" i="24"/>
  <c r="X10" i="24"/>
  <c r="K17" i="24" s="1"/>
  <c r="X9" i="24"/>
  <c r="N19" i="24" s="1"/>
  <c r="X9" i="4"/>
  <c r="X8" i="4"/>
  <c r="J17" i="4" s="1"/>
  <c r="B8" i="23"/>
  <c r="X10" i="23"/>
  <c r="X9" i="23"/>
  <c r="J22" i="23" s="1"/>
  <c r="L31" i="11" l="1"/>
  <c r="M31" i="11" s="1"/>
  <c r="L27" i="33"/>
  <c r="X8" i="23"/>
  <c r="L46" i="34"/>
  <c r="L22" i="33"/>
  <c r="L21" i="34"/>
  <c r="L40" i="34" s="1"/>
  <c r="L23" i="34"/>
  <c r="L30" i="11"/>
  <c r="H28" i="11"/>
  <c r="L24" i="34" l="1"/>
  <c r="AA36" i="11"/>
  <c r="AD36" i="11"/>
  <c r="AB36" i="11"/>
  <c r="H29" i="11"/>
  <c r="L28" i="11"/>
  <c r="H30" i="11" s="1"/>
  <c r="L29" i="11" l="1"/>
  <c r="L54" i="11"/>
  <c r="H31" i="11"/>
  <c r="L37" i="11" s="1"/>
  <c r="D31" i="23" l="1"/>
  <c r="I10" i="26"/>
  <c r="H10" i="24"/>
  <c r="K23" i="26" l="1"/>
  <c r="K22" i="26"/>
  <c r="K21" i="26"/>
  <c r="K24" i="26"/>
  <c r="K25" i="26"/>
  <c r="K20" i="26"/>
  <c r="K20" i="24"/>
  <c r="K18" i="24"/>
  <c r="K19" i="24"/>
  <c r="K21" i="24"/>
  <c r="K32" i="26" l="1"/>
  <c r="K35" i="26"/>
  <c r="K31" i="26"/>
  <c r="F11" i="23"/>
  <c r="J9" i="23"/>
  <c r="J8" i="23"/>
  <c r="J10" i="23"/>
  <c r="H10" i="4"/>
  <c r="L9" i="4"/>
  <c r="L8" i="4"/>
  <c r="K19" i="4" l="1"/>
  <c r="K21" i="4"/>
  <c r="L31" i="4" s="1"/>
  <c r="K20" i="4"/>
  <c r="K22" i="4"/>
  <c r="L33" i="4" s="1"/>
  <c r="L27" i="4" l="1"/>
  <c r="D46" i="23"/>
  <c r="D45" i="26"/>
  <c r="B14" i="22"/>
  <c r="H25" i="22" s="1"/>
  <c r="D39" i="24"/>
  <c r="C41" i="22"/>
  <c r="H23" i="22" l="1"/>
  <c r="H22" i="22"/>
  <c r="J25" i="22" s="1"/>
  <c r="K31" i="24"/>
  <c r="J23" i="22" l="1"/>
  <c r="K25" i="24"/>
  <c r="C63" i="11" l="1"/>
  <c r="AC48" i="11"/>
  <c r="C61" i="11"/>
  <c r="C57" i="11"/>
  <c r="X41" i="11"/>
  <c r="W41" i="11"/>
  <c r="W51" i="11"/>
  <c r="W50" i="11"/>
  <c r="W49" i="11"/>
  <c r="W47" i="11"/>
  <c r="W45" i="11"/>
  <c r="W44" i="11"/>
  <c r="W43" i="11"/>
  <c r="W52" i="11"/>
  <c r="X52" i="11"/>
  <c r="X51" i="11"/>
  <c r="X50" i="11"/>
  <c r="X49" i="11"/>
  <c r="X45" i="11"/>
  <c r="X44" i="11"/>
  <c r="X43" i="11"/>
  <c r="X39" i="11"/>
  <c r="X38" i="11"/>
  <c r="X36" i="11"/>
  <c r="X35" i="11"/>
  <c r="W39" i="11"/>
  <c r="W38" i="11"/>
  <c r="W36" i="11"/>
  <c r="W35" i="11"/>
  <c r="W34" i="11"/>
  <c r="X34" i="11"/>
  <c r="X30" i="11"/>
  <c r="X29" i="11"/>
  <c r="W30" i="11"/>
  <c r="W29" i="11"/>
  <c r="W26" i="11"/>
  <c r="X26" i="11"/>
  <c r="X28" i="11"/>
  <c r="X27" i="11"/>
  <c r="G16" i="11"/>
  <c r="W28" i="11"/>
  <c r="W27" i="11"/>
  <c r="X23" i="11"/>
  <c r="AF48" i="11"/>
  <c r="X47" i="11" s="1"/>
  <c r="E48" i="11"/>
  <c r="AB48" i="11"/>
  <c r="AE48" i="11"/>
  <c r="AD48" i="11"/>
  <c r="C16" i="7"/>
  <c r="D66" i="11" l="1"/>
  <c r="W48" i="11"/>
  <c r="D71" i="11"/>
  <c r="D70" i="11"/>
  <c r="D73" i="11"/>
  <c r="C73" i="11" s="1"/>
  <c r="X48" i="11"/>
  <c r="D45" i="11"/>
  <c r="D61" i="11"/>
  <c r="D63" i="11"/>
  <c r="D59" i="11"/>
  <c r="D74" i="11"/>
  <c r="D37" i="11"/>
  <c r="D64" i="11"/>
  <c r="D50" i="11"/>
  <c r="D43" i="11"/>
  <c r="D52" i="11"/>
  <c r="D54" i="11"/>
  <c r="D39" i="11"/>
  <c r="D56" i="11"/>
  <c r="D41" i="11"/>
  <c r="D57" i="11"/>
  <c r="D68" i="11" l="1"/>
  <c r="H26" i="22" l="1"/>
  <c r="J26" i="22" l="1"/>
  <c r="H33" i="22"/>
  <c r="H35" i="22"/>
  <c r="H24" i="22"/>
  <c r="J24" i="22" s="1"/>
  <c r="H27" i="22" l="1"/>
  <c r="H31" i="22"/>
  <c r="C31" i="22"/>
  <c r="L39" i="11" l="1"/>
  <c r="L41" i="11" s="1"/>
  <c r="L32" i="11"/>
  <c r="L52" i="11"/>
  <c r="L26" i="35" l="1"/>
  <c r="L28" i="35"/>
  <c r="L31" i="35"/>
  <c r="D55" i="35" s="1"/>
  <c r="L32" i="35"/>
  <c r="M68" i="35" s="1"/>
  <c r="L29" i="35"/>
  <c r="M66" i="35" s="1"/>
  <c r="M55" i="35" l="1"/>
  <c r="L27" i="35"/>
  <c r="M53" i="35" s="1"/>
  <c r="I26" i="35"/>
  <c r="M39" i="35" s="1"/>
  <c r="M41" i="35"/>
  <c r="I29" i="35" l="1"/>
  <c r="J27" i="23"/>
  <c r="J24" i="23"/>
  <c r="J26" i="23"/>
  <c r="J23" i="23"/>
  <c r="J25" i="23"/>
  <c r="L31" i="23" l="1"/>
  <c r="L33" i="35"/>
  <c r="M60" i="35" s="1"/>
  <c r="L35" i="23"/>
  <c r="S22" i="26"/>
  <c r="L29" i="26" l="1"/>
  <c r="K29" i="26"/>
  <c r="S23" i="26"/>
  <c r="L50" i="26" l="1"/>
  <c r="K50" i="26"/>
  <c r="R23" i="26"/>
  <c r="R17" i="26" s="1"/>
  <c r="C5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Torben Kristensen</author>
  </authors>
  <commentList>
    <comment ref="D57" authorId="0" shapeId="0" xr:uid="{5D9CEE0F-1ADB-494A-AA0C-A4099E336576}">
      <text>
        <r>
          <rPr>
            <b/>
            <sz val="9"/>
            <color indexed="81"/>
            <rFont val="Tahoma"/>
            <family val="2"/>
          </rPr>
          <t>Torben Kristensen:</t>
        </r>
        <r>
          <rPr>
            <sz val="9"/>
            <color indexed="81"/>
            <rFont val="Tahoma"/>
            <family val="2"/>
          </rPr>
          <t xml:space="preserve">
</t>
        </r>
        <r>
          <rPr>
            <sz val="2"/>
            <color indexed="81"/>
            <rFont val="Tahoma"/>
            <family val="2"/>
          </rPr>
          <t xml:space="preserve">
</t>
        </r>
        <r>
          <rPr>
            <sz val="9"/>
            <color indexed="81"/>
            <rFont val="Tahoma"/>
            <family val="2"/>
          </rPr>
          <t>Caputo yeast is in fact IDY (despot it saying it is "high activity dry yeast" on the pack, indicating ADY)</t>
        </r>
      </text>
    </comment>
  </commentList>
</comments>
</file>

<file path=xl/sharedStrings.xml><?xml version="1.0" encoding="utf-8"?>
<sst xmlns="http://schemas.openxmlformats.org/spreadsheetml/2006/main" count="2907" uniqueCount="1335">
  <si>
    <t>Dag 1</t>
  </si>
  <si>
    <t>Gær og honning røres ud i vandet.</t>
  </si>
  <si>
    <t>Tilsæt resten af melet og rør godt sammen.</t>
  </si>
  <si>
    <t>•</t>
  </si>
  <si>
    <t>Dag 2</t>
  </si>
  <si>
    <t>Poolish'en røres ud i vandet, hvorefter halvdelen af melet tilsættes og blandes.</t>
  </si>
  <si>
    <t xml:space="preserve">Beregninger på baggrund af </t>
  </si>
  <si>
    <t>https://ggalmazor.github.io/bread_making/poolish_recipe_calculator.html</t>
  </si>
  <si>
    <t>Antal pizzaer</t>
  </si>
  <si>
    <t>Dej pr. pizza</t>
  </si>
  <si>
    <t>Total dej g.</t>
  </si>
  <si>
    <t>Tilsæt halvdelen af melet og rør godt sammen.</t>
  </si>
  <si>
    <t>g mel tipo 00</t>
  </si>
  <si>
    <t>g honning</t>
  </si>
  <si>
    <t>total flour = desired dough / (1 + hydration percentage)</t>
  </si>
  <si>
    <t>total water = desired dough - total flour</t>
  </si>
  <si>
    <t>poolish flour = total flour * poolish percentage</t>
  </si>
  <si>
    <t>poolish water = poolish flour * poolish hydration percentage</t>
  </si>
  <si>
    <t>poolish yeast = poolish flour * poolish yeast percentage</t>
  </si>
  <si>
    <t>rest of flour = total flour - poolish flour</t>
  </si>
  <si>
    <t>rest of water = total water - poolish water</t>
  </si>
  <si>
    <t>rest of yeast = total flour - rest of dough yeast percentage</t>
  </si>
  <si>
    <t>salt = total flour * salt percentage</t>
  </si>
  <si>
    <t>Smør en skål med olivenolie (for at dejen ikke klistrer fast) og placer dejen heri (stadig med oversiden op).</t>
  </si>
  <si>
    <t>Gentag indtil overfladen virker jævn. Husk at få "lukket" i bunden af dejen.</t>
  </si>
  <si>
    <t>Klap dejkuglerne med olie på hænderne og placer dem i en hævekasse eller bradepande.</t>
  </si>
  <si>
    <t>Dejklumperne skal nu strammes op til kugler ved at folde oversiden ind i bunden af dejen.</t>
  </si>
  <si>
    <t>Når dine flotte pizzaboller har hævet i 4 timer, så undgå for alt i verden at "bolle dem op" igen - jo mere du arbejder med dejen, jo mere aktiverer du glutenstrukturen i dejen igen - det betyder, at din pizza skrumper sammen til underkops' størrelse. </t>
  </si>
  <si>
    <t>Ingredienser</t>
  </si>
  <si>
    <t>g salt</t>
  </si>
  <si>
    <t>Tilføj gær.</t>
  </si>
  <si>
    <t>Hvile i 10 min.</t>
  </si>
  <si>
    <t>Brug surdej (der giver smag)</t>
  </si>
  <si>
    <t>Brug tørgær (for det mest stabile resultat)</t>
  </si>
  <si>
    <t>Brug mel med så højt proteinindhold som muligt (f.eks. Manitoba ellerrød Caputo). Det hæver bedst. Husk lang hævetid! 24 timer på køl, 24 timer ved stuetemperatur, form til boller, spænd dem op og giv 24 timer mere på køl.</t>
  </si>
  <si>
    <t>Brug aldrig kagerulle (så hæver kanten ikke op, da luftes presses ud.</t>
  </si>
  <si>
    <t>Lad dejen temperere min. 2 timer før du skal bruge den.</t>
  </si>
  <si>
    <r>
      <rPr>
        <b/>
        <sz val="11"/>
        <rFont val="Calibri"/>
        <family val="2"/>
        <scheme val="minor"/>
      </rPr>
      <t>Salt</t>
    </r>
    <r>
      <rPr>
        <sz val="11"/>
        <rFont val="Calibri"/>
        <family val="2"/>
        <scheme val="minor"/>
      </rPr>
      <t>: forbedrer smagen, holder på dejens form og gør dejen nemmere at arbejde med.
For megen salt slår gærcellerne ihjel. Derfor tilføjes gær og salt forskudt i opskriften.</t>
    </r>
  </si>
  <si>
    <t>https://www.christinascucina.com/best-pizza-sauce-recipe-no-cook-authentic-italian-style/</t>
  </si>
  <si>
    <t>3 tsk. extra olivenolie af høj kvalitet.</t>
  </si>
  <si>
    <t>2-3 fingerspidser tørret oregano.</t>
  </si>
  <si>
    <t>2-3 blade frisk basilikum, revet i små stykker.</t>
  </si>
  <si>
    <t>Evt. et fed hvidløg.</t>
  </si>
  <si>
    <t>Instruktion</t>
  </si>
  <si>
    <t>Bland alle ingredienserne i en skål og rør dem godt sammen.</t>
  </si>
  <si>
    <t>Saucen kan også laves med friske tomater, som moses med hånden.</t>
  </si>
  <si>
    <t>Ønsker man en mere jævn sauce, kan man give den en omgang med blenderen.</t>
  </si>
  <si>
    <t>(fjern skindet først - blancher tomaterne og læg dem i koldt vand).</t>
  </si>
  <si>
    <t>Noter</t>
  </si>
  <si>
    <t>Smag til med havsalt.</t>
  </si>
  <si>
    <t>Bruger du flåede tomater, så dræn dem og knus dem med hænderne.</t>
  </si>
  <si>
    <t>Saucen kan holde sig i køleskabet op til 3 dage. Kan også fryses ned i en måned.</t>
  </si>
  <si>
    <t>1 dåse (400g.) hakkede tomater af høj kvalitet (f.eks. Mutti eller San Marzano)</t>
  </si>
  <si>
    <t>1 finthakket hvidløg.</t>
  </si>
  <si>
    <t>1 tsk. tørret oregano.</t>
  </si>
  <si>
    <t>https://www.insidetherustickitchen.com/authentic-italian-tomato-sauce-quick-easy-delicious/</t>
  </si>
  <si>
    <t>1 håndfuld frisk persille - hakket</t>
  </si>
  <si>
    <t>1 lille håndfuld frisk basilikum - hakket</t>
  </si>
  <si>
    <t>2 spsk. vand</t>
  </si>
  <si>
    <t>1 spsk. olivenolie</t>
  </si>
  <si>
    <t>1.</t>
  </si>
  <si>
    <t>2.</t>
  </si>
  <si>
    <t>3.</t>
  </si>
  <si>
    <t>4.</t>
  </si>
  <si>
    <t>5.</t>
  </si>
  <si>
    <t>Evt. 1 tsk. balsamico eddike af høj kvalitet.</t>
  </si>
  <si>
    <t>Tilsæt hvidløg og oregano. Steg i 30 sekunder og tilføj persille og basilikum,</t>
  </si>
  <si>
    <t>samt evt. 1 stk. balsamico.</t>
  </si>
  <si>
    <t>Steg endnu 30 sekunder og tilføj derefter tomater og en knivspids salt.</t>
  </si>
  <si>
    <t>Tilføj 2 spsk. vand i den tomem tomat-dåse og tilføj dette til saucen.</t>
  </si>
  <si>
    <t>Kog det hele i 1 minut og brug derefter en kartoffelmoser for at mose tomaterne.</t>
  </si>
  <si>
    <t>Du kan også bruge en blender, hvis du vil have saucen endnu mere jævn.</t>
  </si>
  <si>
    <t>Lad det simre i 8 minutter og rø jævnligt i det.</t>
  </si>
  <si>
    <t>Sluk for komfuret og smag saucen tilmed salt og evt øvrige krydderier.</t>
  </si>
  <si>
    <t>Hæld 1 tsk. oliven olie i en stegepande og varm op.</t>
  </si>
  <si>
    <t>Havsalt</t>
  </si>
  <si>
    <t>Vend/mæt bollerne i Semoina/fin durummel for at de hænger fast på bord eller pizza-spade.</t>
  </si>
  <si>
    <r>
      <rPr>
        <b/>
        <sz val="11"/>
        <color theme="1"/>
        <rFont val="Calibri"/>
        <family val="2"/>
        <scheme val="minor"/>
      </rPr>
      <t>Gær</t>
    </r>
    <r>
      <rPr>
        <sz val="11"/>
        <color theme="1"/>
        <rFont val="Calibri"/>
        <family val="2"/>
        <scheme val="minor"/>
      </rPr>
      <t>: er ned til at udvikle dejens smag over tid og gør den luftig.
Når man hæver dej og bager ved høj varme, behøver man mindre gær.</t>
    </r>
  </si>
  <si>
    <r>
      <rPr>
        <b/>
        <sz val="11"/>
        <rFont val="Calibri"/>
        <family val="2"/>
        <scheme val="minor"/>
      </rPr>
      <t>Autolyse</t>
    </r>
    <r>
      <rPr>
        <sz val="11"/>
        <rFont val="Calibri"/>
        <family val="2"/>
        <scheme val="minor"/>
      </rPr>
      <t xml:space="preserve"> er en metode, hvor mel og vand blandes sammen, inden æltningen går igang. Efter mel og vand er blandet sammen, skal blandingen have lov at hvile. Autolysens varighed kan variere, alt fra 30 minutter til flere timer. Dette afhænger af mel og opskrift.
Under autolyse metode, absorberer melet vandet fuldstændig. Dejen trækker sig sammen og det aktivere enzymerne i melet, og proteinerne starter udviklingen af glutennetværket. Enzymerne nedbryder stivelsen og dejen bliver mere glat og elastisk at arbejde med.
Under denne proces, skal der hverken æltes eller tilsættes salt. Salten undlades, da det ellers vil resultere i at glutennetværket bliver strammet, hvilket sænker udviklingen af et godt glutennetværket, som er dét vi gerne skal arbejde os hen mod. Det vil derfor modarbejde autolyse, og det vil føles sværere at strække dejen ud, netop på grund af saltets spændingseffekt der trækker dejen sammen på en mere “falsk” måde.
Det giver både dej og det færdige brød en flot struktur, fordi glutennetværket har fået lov at udvikle sig. Processen sikrer, at der dannes gluten i dejen.</t>
    </r>
  </si>
  <si>
    <t>Placer bollerne bordet og tryk dem ud fra midten og ud mod kanten nænsomt til den har ca 25-30 cm i diameter. Efterlad ca 1 cm. kant. Brug aldrig kagerulle!</t>
  </si>
  <si>
    <t>Undgå at bunden bliver alt for tynd, da der risikerer at gå hul i bunden når pizzaen skal ind og ud af ovnen.</t>
  </si>
  <si>
    <r>
      <t>Cuoco/Saccorosso (</t>
    </r>
    <r>
      <rPr>
        <b/>
        <sz val="11"/>
        <color theme="1"/>
        <rFont val="Calibri"/>
        <family val="2"/>
        <scheme val="minor"/>
      </rPr>
      <t>rød Caputo</t>
    </r>
    <r>
      <rPr>
        <sz val="11"/>
        <color theme="1"/>
        <rFont val="Calibri"/>
        <family val="2"/>
        <scheme val="minor"/>
      </rPr>
      <t>), er en stærkere variant af Pizzeria melet, og er lavet til de varme dage i Napoli hvor dejen udvikler sig hurtigere, og dermed også mister sin styrke. Kan sagtens hæve ved stuetemperatur i lige over et døgn, og koldhævning i samme periode som den blå.
Forskellen på de to typer mel er styrken, men så snart man koldhæver, sætter man lidt det ud af spillet.</t>
    </r>
  </si>
  <si>
    <r>
      <t xml:space="preserve">Caputo Pizzeria (oftest omtalt som </t>
    </r>
    <r>
      <rPr>
        <b/>
        <sz val="11"/>
        <color theme="1"/>
        <rFont val="Calibri"/>
        <family val="2"/>
        <scheme val="minor"/>
      </rPr>
      <t>blå Caputo</t>
    </r>
    <r>
      <rPr>
        <sz val="11"/>
        <color theme="1"/>
        <rFont val="Calibri"/>
        <family val="2"/>
        <scheme val="minor"/>
      </rPr>
      <t>), er velegnet til op til ca. 12-16 timer ved stuetemperatur, men smider man den på køl kan den snildt bruges i 3-4 dage, hvis ikke mere.</t>
    </r>
  </si>
  <si>
    <t>Mel</t>
  </si>
  <si>
    <t>Pizza alla caprese</t>
  </si>
  <si>
    <t>Tomater (i tynde skiver)</t>
  </si>
  <si>
    <t>Hvidløg (i tynde skiver)</t>
  </si>
  <si>
    <t>Olienolie</t>
  </si>
  <si>
    <t>Friskkværnet peber</t>
  </si>
  <si>
    <t>Frisk basilikum</t>
  </si>
  <si>
    <t>Bred et tyndt lag tomatsauce på. Skær mozzarella,</t>
  </si>
  <si>
    <t>kværn peber over.</t>
  </si>
  <si>
    <t>Hvidløg</t>
  </si>
  <si>
    <t>Mild rød chili</t>
  </si>
  <si>
    <t>Krydret salami i skiver</t>
  </si>
  <si>
    <t>Frisk organo</t>
  </si>
  <si>
    <t>Olivenolie</t>
  </si>
  <si>
    <t>Flagesalt</t>
  </si>
  <si>
    <t>Friskkværnet sort peber</t>
  </si>
  <si>
    <t>Mozarella</t>
  </si>
  <si>
    <t>Pizza al salame piccante</t>
  </si>
  <si>
    <t xml:space="preserve">tomater og hvidløg tyndt. Fordel det på pizzaen </t>
  </si>
  <si>
    <t>sammen med hele basilikumblade. I ovnen med</t>
  </si>
  <si>
    <t>pizzaen. Tag pizzaen ud, dryp med olivenolie, og</t>
  </si>
  <si>
    <t>Pizza alla capricciosa</t>
  </si>
  <si>
    <t>Røget skinke</t>
  </si>
  <si>
    <t>Solmoden tomat</t>
  </si>
  <si>
    <t>Champignon</t>
  </si>
  <si>
    <t>Bred et tyndt lag tomatsauce på. Skær champignon,</t>
  </si>
  <si>
    <t>tomater og hvidløg tyndt og skær mozarella i skiver.</t>
  </si>
  <si>
    <t xml:space="preserve">Fordel skinke og de øvrige ingredienser på pizzaen </t>
  </si>
  <si>
    <t>sammen med hele basilikumblade.</t>
  </si>
  <si>
    <t xml:space="preserve">Bag i ovnen og dryp herefter med olivenolie og </t>
  </si>
  <si>
    <t>Tomatsauce</t>
  </si>
  <si>
    <t>Pizza ai carciofi</t>
  </si>
  <si>
    <t>Artiskokhjerter</t>
  </si>
  <si>
    <t>Pecorino-ost</t>
  </si>
  <si>
    <t>Valnødder</t>
  </si>
  <si>
    <t>Frisk timian</t>
  </si>
  <si>
    <t>Lad artiskokhjerterne dryppe godt af. Del dem og</t>
  </si>
  <si>
    <t>steg dem gyldenbrune i olivenolie.</t>
  </si>
  <si>
    <t>Smør pizzaen med tomatsauce. Fordel artiskokker,</t>
  </si>
  <si>
    <t>kværn peber over. Pynt med timian.</t>
  </si>
  <si>
    <t>Riv pecorino-osten og hak nødderne groft.</t>
  </si>
  <si>
    <t>Pizza bianca</t>
  </si>
  <si>
    <t>Ricotta-ost</t>
  </si>
  <si>
    <t>Parmesan-ost</t>
  </si>
  <si>
    <t>Pinjekerner</t>
  </si>
  <si>
    <t>Friske rosmarin-kviste</t>
  </si>
  <si>
    <t>Bred et lag ricottaost på pizzaen. Riv parmasanost</t>
  </si>
  <si>
    <t>pinjekerner på. Skær hvidløgene i tynde skiver og</t>
  </si>
  <si>
    <t>hak rosmarinen fint. Drys det over pizzaen og dryp</t>
  </si>
  <si>
    <t>med olivenolie samt krydr med salt og peber.</t>
  </si>
  <si>
    <t>over og læg skiver af mozzarellaost og</t>
  </si>
  <si>
    <t>Mozzarella</t>
  </si>
  <si>
    <t>Hvidløgssauce</t>
  </si>
  <si>
    <t>Blend 120 ml olivenolie med 4 fed hvidløg</t>
  </si>
  <si>
    <t>Kartofler, tyndskårene</t>
  </si>
  <si>
    <t>Smør et lag af hvidløgssaucen på pizzabunden.</t>
  </si>
  <si>
    <t>Fordel kartoffel, jalapeño og ost. Bag.</t>
  </si>
  <si>
    <t>Jalapeños, gerne frisk tyndskåret</t>
  </si>
  <si>
    <t>400 g blandede oste</t>
  </si>
  <si>
    <t xml:space="preserve">  - taleggio, fontina, parmesan, gorgonzola.</t>
  </si>
  <si>
    <t xml:space="preserve">Riv de hårde oste og del taleggio og gorgonzola i </t>
  </si>
  <si>
    <t>Pizza ai quattro formaggi</t>
  </si>
  <si>
    <t>Kartoffel Jalapeño Pizza med hvidløgssauce (bianca)</t>
  </si>
  <si>
    <t>Frisk mozarella</t>
  </si>
  <si>
    <t>Prosciutto cotto (kogt skinke i god kvalitet)</t>
  </si>
  <si>
    <t>Fordel kogt skinke, champignon og revet mozzarella</t>
  </si>
  <si>
    <t>og bag pizzaen.</t>
  </si>
  <si>
    <t>Pizza prosciutto cotto e funghi</t>
  </si>
  <si>
    <t>Pizza al prosciutto crudo (o bresaola)</t>
  </si>
  <si>
    <t>Ruccola salat</t>
  </si>
  <si>
    <t>Parmasan flager</t>
  </si>
  <si>
    <t>Ekstra jomfru olivenolie</t>
  </si>
  <si>
    <t>Prosciutto Crudo (parmaskinke el. anden lufttørret)</t>
  </si>
  <si>
    <t>Bred et tyndt lag tomatsauce på pizzaen.</t>
  </si>
  <si>
    <t>Bred et tyndt lag tomatsauce på pizzaen og tilføj</t>
  </si>
  <si>
    <t>mozzarella og bag pizzaen.</t>
  </si>
  <si>
    <t>Tag den ud når den er færdig og fordel prosciutto,</t>
  </si>
  <si>
    <t>Pizza Margherita</t>
  </si>
  <si>
    <t>Revet mozarella</t>
  </si>
  <si>
    <t>Fordel mozzarella og basilikum. Bag.</t>
  </si>
  <si>
    <t>Pizza Marinara</t>
  </si>
  <si>
    <t>Oregano</t>
  </si>
  <si>
    <t>Skær hvidløgene i tynde skiver og fordel på pizzaen.</t>
  </si>
  <si>
    <t xml:space="preserve">Drys med tørret oregano og dryp cirkulær med </t>
  </si>
  <si>
    <t>olivenolie. Tilfør enkelte basilikumblade. Bag.</t>
  </si>
  <si>
    <t>ruccola salat og parmasan-skiber. Dryp med olivenolie.</t>
  </si>
  <si>
    <t>Pizza Diavola</t>
  </si>
  <si>
    <t>Stærk salami i skiver</t>
  </si>
  <si>
    <t>Basilikum</t>
  </si>
  <si>
    <t>Smør et fornuftigt lag tomatsauce på og fordel nu</t>
  </si>
  <si>
    <t>salami, mozzarella og basilikum på den. Bag</t>
  </si>
  <si>
    <t>Evt. jalapeños eller anden chili for super spicy</t>
  </si>
  <si>
    <t>Skær hvidløg og chili i tynde skiver og skær</t>
  </si>
  <si>
    <t>mozzarella i skiver.</t>
  </si>
  <si>
    <t>Bred et tyndt lag tomatsauce på. Fordel salami,</t>
  </si>
  <si>
    <t>hvidløg, chili, mozzarealla og oregano på pizzaen.</t>
  </si>
  <si>
    <t>Dejen virkes nu op til en bolle indtil overfladen virker jævn.</t>
  </si>
  <si>
    <t>pecorino-ost, og valnødder på pizzaen.</t>
  </si>
  <si>
    <t>Frisk mozzarella (i tynde skiver)</t>
  </si>
  <si>
    <t>g frisk gær</t>
  </si>
  <si>
    <t>Ælt videre ved lav hastighed i 5 min.</t>
  </si>
  <si>
    <t>Under æltning af dejen, sørg for at temperaturen i dejen ikke overstiger 26-28 grader.</t>
  </si>
  <si>
    <r>
      <t xml:space="preserve">Lad den hvile </t>
    </r>
    <r>
      <rPr>
        <sz val="11"/>
        <rFont val="Calibri"/>
        <family val="2"/>
        <scheme val="minor"/>
      </rPr>
      <t>tildækket i 15 min.</t>
    </r>
    <r>
      <rPr>
        <sz val="11"/>
        <color theme="1"/>
        <rFont val="Calibri"/>
        <family val="2"/>
        <scheme val="minor"/>
      </rPr>
      <t xml:space="preserve"> Vend en skål ovenpå med bunden op.</t>
    </r>
  </si>
  <si>
    <t>Dæk dem med låg eller folie og lad dem hæve 2 timer ved stuetemperatur, hvorefter de er klar til brug</t>
  </si>
  <si>
    <t>Simpel</t>
  </si>
  <si>
    <t>Udførlig</t>
  </si>
  <si>
    <t>Rør gær og honning ud i vandet.</t>
  </si>
  <si>
    <t>Rør poolish ud i vandet og tilsæt halvdelen af melet.</t>
  </si>
  <si>
    <t>Vend dejen ud på bordet. Tag evt. lidt olie på hænderne for bedre at kunne håndtere den.</t>
  </si>
  <si>
    <t>Virk dejen op til glat overflade.</t>
  </si>
  <si>
    <t>Voila!</t>
  </si>
  <si>
    <t xml:space="preserve"> </t>
  </si>
  <si>
    <t>Vend dejen ud på bordet.</t>
  </si>
  <si>
    <t>Vend dejen ud på bordet og lad den hvile tildækket i 15 min.</t>
  </si>
  <si>
    <t>Stram dejkuglerne op og lad dem hæve 2 timer ved stuetemperatur.</t>
  </si>
  <si>
    <t>Lad poolish hvile 20 min ved stuetemperattur.</t>
  </si>
  <si>
    <t>Poolish</t>
  </si>
  <si>
    <t>g poolish</t>
  </si>
  <si>
    <t>Hoveddej</t>
  </si>
  <si>
    <t>g sukker</t>
  </si>
  <si>
    <t>g salt (1 tsk.)</t>
  </si>
  <si>
    <t>g sukker (1 tsk.)</t>
  </si>
  <si>
    <t xml:space="preserve">g hvede-mel tipo 00 </t>
  </si>
  <si>
    <t>g total dej</t>
  </si>
  <si>
    <t>g olivenolie</t>
  </si>
  <si>
    <t>Opløs gær og sukker i vandet.</t>
  </si>
  <si>
    <t>Tilsæt salt og olie, rør lidt, tilsæt derpå resten af melet over to omgange.</t>
  </si>
  <si>
    <t>Dejklumperne strammes op til kugler ved at folde oversiden ind i bunden af dejen.</t>
  </si>
  <si>
    <t>Find mere inspiration her:     50 Most Popular PIZZAS in the world</t>
  </si>
  <si>
    <t>Kan gøres klar på ned til 2 timer…</t>
  </si>
  <si>
    <t>Lad det hæve i en lukket beholder (låg eller film) i 1 time ved stuetemperatur.</t>
  </si>
  <si>
    <t>stuetemp og opbevares på køl op til 3 dage.</t>
  </si>
  <si>
    <t>Når du drejer din pizza på stenen, så sørg for at placere den samme sted igen, da stenen er varmere der hvor pizzaen ikke har ligget. Det resulterer i brandt bund.</t>
  </si>
  <si>
    <t>Tip: Poolish kan fermentes op til 4 timer ved</t>
  </si>
  <si>
    <t>Når hoveddejen har stået på køl, man man med fordel forme dejkuglerne, straks dejen er taget ud.</t>
  </si>
  <si>
    <t>Så er dejen stadig kold og så klistrer dejen ikke så let ved fingrene, som når den er stuetemperatur.</t>
  </si>
  <si>
    <t>Salt</t>
  </si>
  <si>
    <t>Poolish double fermented</t>
  </si>
  <si>
    <t>Sæt poolishen (stadig i lukket beholder) i køleskabet i 16-24 timer.</t>
  </si>
  <si>
    <t>POOLISH</t>
  </si>
  <si>
    <t>VALG</t>
  </si>
  <si>
    <t>Herefter i køleskab i 16-24 timer.</t>
  </si>
  <si>
    <t>Luk tæt med låg eller film og lad dejen hæve 16-24 timer i køleskabet (2. fermentering).</t>
  </si>
  <si>
    <t>Læg dejen i en skål og lad dejen hæve 16-24 timer i køleskabet (2. fermentering)</t>
  </si>
  <si>
    <t>Poolish + Autolysis</t>
  </si>
  <si>
    <t>POOLISH + AUTOLYSIS</t>
  </si>
  <si>
    <t>Poolish + autolysis</t>
  </si>
  <si>
    <t>Lad det hvile tildækket 1 time ved stuetemperatur.</t>
  </si>
  <si>
    <t>Tilberedning</t>
  </si>
  <si>
    <t>Tid</t>
  </si>
  <si>
    <t>Dejen virkes nu op indtil overfladen virker jævn (fold dejen ind under sig selv).</t>
  </si>
  <si>
    <t>Dejen virkes nu op indtil overfladen virker jævn (fold dejen ind under sig selv. Husk at lukke).</t>
  </si>
  <si>
    <t>Lad dejen hvile tildækket ved stuetemperatur i 40-60 min.</t>
  </si>
  <si>
    <t>I mellemtiden tages poolishen ud og hviler 20 min ved stuetemperatur.</t>
  </si>
  <si>
    <t>Tilsæt salt og ælt den godt ind i dejen.</t>
  </si>
  <si>
    <t>Læg dejen i lufttæt beholder og sæt den i køleskabet i 6 timer.</t>
  </si>
  <si>
    <t>Stram dejkuglerne op og lad dem hæve 2-3 timer ved stuetemperatur.</t>
  </si>
  <si>
    <t>Fordel</t>
  </si>
  <si>
    <t>De skal hæve til ca dobbelt størrelse.</t>
  </si>
  <si>
    <t>POOLISH DOUBLE FERMENTED</t>
  </si>
  <si>
    <t>Tag poolish'en ud af køleskabet og lad den stå ved stuetemperatur (20-25°) i 20 min.</t>
  </si>
  <si>
    <t>Poolish er med til at udvikle smagen i brødet og giver en bedre skorpe.</t>
  </si>
  <si>
    <t>Hvil tildækket 1 time ved stuetemperatur.</t>
  </si>
  <si>
    <t>Bland mel og vand ved lav hastighed indtil dejen samler sig.</t>
  </si>
  <si>
    <t>Tip: Fra nu af skal du sørge for holde overside af dejen op under hele processen.</t>
  </si>
  <si>
    <t>Sæt poolishen (i lukket beholder) i køleskabet i 16-24 timer (1. fermentering).</t>
  </si>
  <si>
    <t>Sæt poolishen i på køl i 16-24 timer (1. fermentering).</t>
  </si>
  <si>
    <t>Bland dejen og poolish ved lav/mellem hastighed, indtil dejene har samlet sig.</t>
  </si>
  <si>
    <t>Dejen ud på bordet. Fordel olien med hænderne ud over overfladen og virk den op til glat overflade/kugle.</t>
  </si>
  <si>
    <t>Lad dejen hvile tildækket ved stuetemperatur (20-25°) i 40-60 min.</t>
  </si>
  <si>
    <t>Bland dejen og poolish indtil dejene har samlet sig.</t>
  </si>
  <si>
    <t>Virk den op til glat overflade/kugle.</t>
  </si>
  <si>
    <t>Stram dejkuglerne op og lad dem hæve tildækket 2-3 timer ved stuetemperatur (20-25°).</t>
  </si>
  <si>
    <t>Vend dejen ud på bordet og sørg for at få oversiden op. Det er okay at vende den om.</t>
  </si>
  <si>
    <t>De skal hæve til ca dobbelt størrelse og tiden kan variere afhængig af temperatur.</t>
  </si>
  <si>
    <t>Tag dejen ud og lad den stå i 1-2 timer ved stuetemperatur.</t>
  </si>
  <si>
    <t>Den dobbelte fermentering giver en luftig dej og udvikler smagen i brødet.</t>
  </si>
  <si>
    <t>Chili-pasta (pizzamandens hemmelige bæger)</t>
  </si>
  <si>
    <t xml:space="preserve">Tag en god portion chiliflager og give dem et opkog i en gryde med en smule vand til det har den konsistens du ønsker. </t>
  </si>
  <si>
    <t>Tilsæt tomatkoncentrat og lad det “brænde af” kort for at fjerne den bitre smag.</t>
  </si>
  <si>
    <t xml:space="preserve">Tilsæt et presset hvidløg, lidt salt, citron, sukker, kanel, spidskommen og noget smagsneutralt olie. </t>
  </si>
  <si>
    <t>Smag dig frem til det du ønsker og tilføj evt friskhakket chili hvis du ønsker mere power.</t>
  </si>
  <si>
    <t>Hæld på et renskoldet glas og fyld yderligere olie på et par centimeter over chilisaucen.</t>
  </si>
  <si>
    <t>Den kan bruges med det samme, men lad den gerne trække et par dage.</t>
  </si>
  <si>
    <t>Chili-sauce (som den på de bedste shawarma-joints)</t>
  </si>
  <si>
    <t>1 Glas Soltøret tomater i olie</t>
  </si>
  <si>
    <t>1/2 Tsk. Hvidløgs pulver</t>
  </si>
  <si>
    <t>1 Tsk. Garam Masala (Også fra den etniske)</t>
  </si>
  <si>
    <t>1/2 Tsk. Salt</t>
  </si>
  <si>
    <t>1 Tsk. Cayenne peber</t>
  </si>
  <si>
    <t>1 Tsk. Citron saft</t>
  </si>
  <si>
    <t>2 Tsk. Sukker</t>
  </si>
  <si>
    <t xml:space="preserve">Hæld dem op i skålen til olien, tilføj alle de andre ingredienser og rør godt rundt. </t>
  </si>
  <si>
    <t>Nu skal der så olie på og det er på slum men der skal altså en del i så vær ikke bange rør imens og tilføj olie til det ligesom er mættet.</t>
  </si>
  <si>
    <t xml:space="preserve">Hæld det hele i et stort skoldet syltetøjglas og stil det i køleskabet 2-3 timer. </t>
  </si>
  <si>
    <t>Det skal stå i køleskabet mindst 2 dage inden man spiser af det, ellers er de tørret chili flager gummiagtige og ikke rare at spise.</t>
  </si>
  <si>
    <t xml:space="preserve">Er man ikke til så stærk chili kan man starte med 2 spk chili flager og ingen cayenne peber. Man kan jo tilføje mere senere, men lad det </t>
  </si>
  <si>
    <t>stå 2-3 dage inden man smager til. Man kan ikke smage den endelige styrke inden det har stået og trukket et par dage.</t>
  </si>
  <si>
    <t>2 røde peberfrugter</t>
  </si>
  <si>
    <t>2 hele, røde chilier med kerner</t>
  </si>
  <si>
    <t>1 dl sukker</t>
  </si>
  <si>
    <t>1 dl hvidvinseddike</t>
  </si>
  <si>
    <t>½ dl vand</t>
  </si>
  <si>
    <t xml:space="preserve">Skær peberfrugt og chili i mindre stykker. </t>
  </si>
  <si>
    <t xml:space="preserve">Kom alle ingredienserne i en gryde og lad det simre i 15-20 minutter. </t>
  </si>
  <si>
    <t xml:space="preserve">Skold et glas og kom chilimarmeladen heri. </t>
  </si>
  <si>
    <t>Chilimarmeladen kan holde sig 1-2 måneder i køleskabet.</t>
  </si>
  <si>
    <t>180 g. tomat puré (4 af de helt små dåser)</t>
  </si>
  <si>
    <t>Neutral olie (IKKE OLIVENOLIE). Brug f.eks. koltpresset raps olie.</t>
  </si>
  <si>
    <t xml:space="preserve">Hæld det øverste af olien fra de soltøret tomater. De skal ikke drænes for olie - bare lige hæld det værste fra i en skål. </t>
  </si>
  <si>
    <t>Blend tomaterne i en blender indtil de er ensartet masse.</t>
  </si>
  <si>
    <t>Kig på glasset for at se om der er nok olie i. Det skal være så der lige skiller 1-2mm olie på toppen. Hvis ikke, så kom mere på og rør.</t>
  </si>
  <si>
    <t>Tjek igen efter et par timer. Det er vigtigt med så meget olie.</t>
  </si>
  <si>
    <t xml:space="preserve">Denne opskrift er ca. lige så stærk som dem på shawarma-baren. Den er god stærk men ikke brændende. </t>
  </si>
  <si>
    <t>Blend chilimarmeladen en smule.</t>
  </si>
  <si>
    <t xml:space="preserve">Du kan selv afgøre, om du ønsker chilimarmeladen helt lind eller med lidt konsistens. </t>
  </si>
  <si>
    <t>Gær</t>
  </si>
  <si>
    <t>Almindeligt fersk gær behøver ikke blive opløst i væsken, tilsæt blot gærmængden så skal æltningen nok sørge for at gæren bliver fordelt.
Dog kan det være en fordel ved fordeje, at udrøre gæren i vandet, da konsistensen er meget blød. På den måde får du gæraktivitet hurtigere.</t>
  </si>
  <si>
    <t>I Danmark findes der primært IDY (Instant Dry Yeast) som kendes på at det er bittesmå stave. Denne type tørgær kan bruges direkte i melet, og er ikke så følsom overfor hvordan det bruges. Faktisk reagerer IDY bedst ved at blive blandet sammen med melet inden æltning. Tørgær kan typisk holde sig 2 år fra produktionsdato.</t>
  </si>
  <si>
    <t>Gær findes primært i to versioner til forbrugere: fersk gær og tørgær.</t>
  </si>
  <si>
    <t>Sød chili-sauce (chili-marmelade)</t>
  </si>
  <si>
    <t>3 spk. tørrede chiliflager (helst fra en etnisk pusher - Santa Maria er bare ikke det samme)</t>
  </si>
  <si>
    <t>Hydrering</t>
  </si>
  <si>
    <t>Lad dejen hvile i skålen i 10 min.</t>
  </si>
  <si>
    <t>Dejklumperne strammes nu op til kugler ved at folde oversiden ind i bunden af dejen.</t>
  </si>
  <si>
    <t>Smelt smør i en gryde med et par fed hvidløg.</t>
  </si>
  <si>
    <t>Smid en rosmarin- og/eller timiankvist ned i.</t>
  </si>
  <si>
    <t>Pensl hvidløgssmøret på den klargjorte pizza-dej.</t>
  </si>
  <si>
    <t>Bag den.</t>
  </si>
  <si>
    <t>Når den tages ud, drysses den med flager af havsalt.</t>
  </si>
  <si>
    <t>Pizza - ren nørderi</t>
  </si>
  <si>
    <t>Vito's poolish pizza</t>
  </si>
  <si>
    <t>Øvrigt</t>
  </si>
  <si>
    <r>
      <rPr>
        <b/>
        <sz val="22"/>
        <color theme="0"/>
        <rFont val="Calibri"/>
        <family val="2"/>
        <scheme val="minor"/>
      </rPr>
      <t>Pizza sauce</t>
    </r>
    <r>
      <rPr>
        <b/>
        <sz val="20"/>
        <color theme="0"/>
        <rFont val="Calibri"/>
        <family val="2"/>
        <scheme val="minor"/>
      </rPr>
      <t xml:space="preserve"> </t>
    </r>
    <r>
      <rPr>
        <i/>
        <sz val="16"/>
        <color theme="0"/>
        <rFont val="Calibri"/>
        <family val="2"/>
        <scheme val="minor"/>
      </rPr>
      <t>(Authentic Italian Style)</t>
    </r>
  </si>
  <si>
    <r>
      <rPr>
        <b/>
        <sz val="22"/>
        <color theme="0"/>
        <rFont val="Calibri"/>
        <family val="2"/>
        <scheme val="minor"/>
      </rPr>
      <t>Tomat sauce</t>
    </r>
    <r>
      <rPr>
        <b/>
        <sz val="20"/>
        <color theme="0"/>
        <rFont val="Calibri"/>
        <family val="2"/>
        <scheme val="minor"/>
      </rPr>
      <t xml:space="preserve"> </t>
    </r>
    <r>
      <rPr>
        <i/>
        <sz val="16"/>
        <color theme="0"/>
        <rFont val="Calibri"/>
        <family val="2"/>
        <scheme val="minor"/>
      </rPr>
      <t>(Authentic Italian Style)</t>
    </r>
  </si>
  <si>
    <r>
      <rPr>
        <b/>
        <sz val="12"/>
        <color theme="0"/>
        <rFont val="Calibri"/>
        <family val="2"/>
        <scheme val="minor"/>
      </rPr>
      <t>Mængde:</t>
    </r>
    <r>
      <rPr>
        <sz val="12"/>
        <color theme="0"/>
        <rFont val="Calibri"/>
        <family val="2"/>
        <scheme val="minor"/>
      </rPr>
      <t xml:space="preserve"> 3-4 pizzaer.</t>
    </r>
  </si>
  <si>
    <r>
      <rPr>
        <b/>
        <sz val="12"/>
        <color theme="0"/>
        <rFont val="Calibri"/>
        <family val="2"/>
        <scheme val="minor"/>
      </rPr>
      <t>Forberedelse:</t>
    </r>
    <r>
      <rPr>
        <sz val="12"/>
        <color theme="0"/>
        <rFont val="Calibri"/>
        <family val="2"/>
        <scheme val="minor"/>
      </rPr>
      <t xml:space="preserve"> 0 min.</t>
    </r>
  </si>
  <si>
    <r>
      <rPr>
        <b/>
        <sz val="12"/>
        <color theme="0"/>
        <rFont val="Calibri"/>
        <family val="2"/>
        <scheme val="minor"/>
      </rPr>
      <t>Totaltid:</t>
    </r>
    <r>
      <rPr>
        <sz val="12"/>
        <color theme="0"/>
        <rFont val="Calibri"/>
        <family val="2"/>
        <scheme val="minor"/>
      </rPr>
      <t xml:space="preserve"> 5 min</t>
    </r>
  </si>
  <si>
    <r>
      <rPr>
        <b/>
        <sz val="12"/>
        <color theme="0"/>
        <rFont val="Calibri"/>
        <family val="2"/>
        <scheme val="minor"/>
      </rPr>
      <t>Forberedelse:</t>
    </r>
    <r>
      <rPr>
        <sz val="12"/>
        <color theme="0"/>
        <rFont val="Calibri"/>
        <family val="2"/>
        <scheme val="minor"/>
      </rPr>
      <t xml:space="preserve"> 2 min.</t>
    </r>
  </si>
  <si>
    <r>
      <rPr>
        <b/>
        <sz val="12"/>
        <color theme="0"/>
        <rFont val="Calibri"/>
        <family val="2"/>
        <scheme val="minor"/>
      </rPr>
      <t>Totaltid:</t>
    </r>
    <r>
      <rPr>
        <sz val="12"/>
        <color theme="0"/>
        <rFont val="Calibri"/>
        <family val="2"/>
        <scheme val="minor"/>
      </rPr>
      <t xml:space="preserve"> 10 min</t>
    </r>
  </si>
  <si>
    <t xml:space="preserve">Ved autolys absorberer melet vandet og der dannes gluten. </t>
  </si>
  <si>
    <t>Det siges at en autentisk pizza-sauce ikke skal koges, så dette er mere en all-round</t>
  </si>
  <si>
    <t>tomat sauce som både er god til pasta, pizza eller et stykke ciabatta-brød.</t>
  </si>
  <si>
    <t>g dej i alt</t>
  </si>
  <si>
    <t>g dej total</t>
  </si>
  <si>
    <t>Umuts hurtige pizzadej</t>
  </si>
  <si>
    <t>Umuts ingredienser</t>
  </si>
  <si>
    <t>Umuts nemme og hurtige grunddej</t>
  </si>
  <si>
    <t>Rør det sammen og kom resten af vandet og salten i.</t>
  </si>
  <si>
    <t>Kom resten af melet i dejen lidt af gangen.</t>
  </si>
  <si>
    <t>Herefter er du klar til at lave dine pizze!</t>
  </si>
  <si>
    <t>Hvidløgsbrød</t>
  </si>
  <si>
    <t>Tag en bolle af din yndlings pizzadej og form den til et brød i ønsket størrelse.</t>
  </si>
  <si>
    <t>og groft hakkede valnødder.  Bag</t>
  </si>
  <si>
    <t>mindre stykker. Fordel tomatsauce og derefter ost</t>
  </si>
  <si>
    <t>Ønsket dejtemperatur</t>
  </si>
  <si>
    <t>- målt meltemperatur</t>
  </si>
  <si>
    <t>- æltetid lav hastighed</t>
  </si>
  <si>
    <t>- æltetid mellem hastighed</t>
  </si>
  <si>
    <t>= Anbefalet vandtemperatur</t>
  </si>
  <si>
    <t xml:space="preserve">   ved brug af røremaskine.</t>
  </si>
  <si>
    <t>bagerkokkens ingredienser</t>
  </si>
  <si>
    <t>Lad dejen hæve i en lukket beholder i 2 timer ved stuetemperatur.</t>
  </si>
  <si>
    <t>Mel, vand og surdej kommes i røremaskinen.</t>
  </si>
  <si>
    <t xml:space="preserve">Rør sammen til dejen har en grødkonsistens. </t>
  </si>
  <si>
    <t>g bageenzym</t>
  </si>
  <si>
    <t>Hviletid i 30 min. (fermontolyse)</t>
  </si>
  <si>
    <t>Ælt 5 min. ved lav hastighed.</t>
  </si>
  <si>
    <t>Lad dejen hæve i en lukket beholder i 4-6 timer ved stuetemperatur.</t>
  </si>
  <si>
    <t>Ælt ca. 5 min. ved mellem hastighed.</t>
  </si>
  <si>
    <t>Det er meget vigtigt for en hvededej,</t>
  </si>
  <si>
    <t>Derfor bør vandtemperaturen tilpasses</t>
  </si>
  <si>
    <t>§ Dejtemperatur (hoveddej)</t>
  </si>
  <si>
    <t>temperaturen på mel samt æltetiden.</t>
  </si>
  <si>
    <r>
      <t xml:space="preserve">at temperaturen ender mellem </t>
    </r>
    <r>
      <rPr>
        <b/>
        <sz val="11"/>
        <color theme="0"/>
        <rFont val="Calibri"/>
        <family val="2"/>
        <scheme val="minor"/>
      </rPr>
      <t>24-27° C</t>
    </r>
    <r>
      <rPr>
        <sz val="11"/>
        <color theme="0"/>
        <rFont val="Calibri"/>
        <family val="2"/>
        <scheme val="minor"/>
      </rPr>
      <t>.</t>
    </r>
  </si>
  <si>
    <t>§ Dejtemperatur</t>
  </si>
  <si>
    <t>Røremaskinen skaber friktion og tilfører</t>
  </si>
  <si>
    <t>dermed varme til dejen.</t>
  </si>
  <si>
    <t>Vandtemperatur</t>
  </si>
  <si>
    <t>Bemærk</t>
  </si>
  <si>
    <t>og kan variere afhængig af røremaskine.</t>
  </si>
  <si>
    <t>Æltetid i rørmaskine er altid vejledende,</t>
  </si>
  <si>
    <t>Hold derfor øje med dejen under sidste</t>
  </si>
  <si>
    <t>(helt blank og glat) - så er den klar.</t>
  </si>
  <si>
    <r>
      <t xml:space="preserve">at temperaturen ender mellem </t>
    </r>
    <r>
      <rPr>
        <b/>
        <sz val="11"/>
        <color theme="0"/>
        <rFont val="Calibri"/>
        <family val="2"/>
        <scheme val="minor"/>
      </rPr>
      <t>24-27°.</t>
    </r>
  </si>
  <si>
    <t>æltning, når dejen bliver "skær" (24-27° )</t>
  </si>
  <si>
    <t>g</t>
  </si>
  <si>
    <t>cm</t>
  </si>
  <si>
    <t>Credit: Vito Iacopelli</t>
  </si>
  <si>
    <t>Antal</t>
  </si>
  <si>
    <t>Vægt</t>
  </si>
  <si>
    <t>mel tipo 00</t>
  </si>
  <si>
    <t>salt</t>
  </si>
  <si>
    <t>frisk gær</t>
  </si>
  <si>
    <t>vand / hydrering</t>
  </si>
  <si>
    <t xml:space="preserve"> bagerkokkens ingredienser</t>
  </si>
  <si>
    <t>stk.</t>
  </si>
  <si>
    <t>g.</t>
  </si>
  <si>
    <t>Recipe cortesy of Per Miljkovic-Bangert</t>
  </si>
  <si>
    <t>Total</t>
  </si>
  <si>
    <t>Hvedesur</t>
  </si>
  <si>
    <t>hvedesur</t>
  </si>
  <si>
    <t>tørgær</t>
  </si>
  <si>
    <t>stk</t>
  </si>
  <si>
    <t>bageenzym</t>
  </si>
  <si>
    <t>poolish</t>
  </si>
  <si>
    <t>aktiv surdej</t>
  </si>
  <si>
    <t>g aktiv surdej</t>
  </si>
  <si>
    <t>50%-57%</t>
  </si>
  <si>
    <t>58%-67%</t>
  </si>
  <si>
    <t>68%-85%</t>
  </si>
  <si>
    <t>Beskrivelse</t>
  </si>
  <si>
    <t>Over 85%</t>
  </si>
  <si>
    <t>Våd dej. Fra let klistret i den nederste ende til meget svær at arbejde med i den høje ende. 
Fra et relativt luftigt brød til ekstremt luftig (afhængig af hvordan dejen håndteres)</t>
  </si>
  <si>
    <t>Large</t>
  </si>
  <si>
    <t>Medium</t>
  </si>
  <si>
    <t>Tør dej. Svært at ælte. Kompakt/tæt brød.</t>
  </si>
  <si>
    <t>Klæbrig men ikke klistret. Let æltet. Relativt kompakt/tæt brød.</t>
  </si>
  <si>
    <t>Diameter</t>
  </si>
  <si>
    <t>Areal</t>
  </si>
  <si>
    <t xml:space="preserve">Small </t>
  </si>
  <si>
    <t>Ekstra large</t>
  </si>
  <si>
    <t>730 cm²</t>
  </si>
  <si>
    <t>993 cm²</t>
  </si>
  <si>
    <t>1297 cm²</t>
  </si>
  <si>
    <t>507 cm²</t>
  </si>
  <si>
    <t>Slices</t>
  </si>
  <si>
    <t>1</t>
  </si>
  <si>
    <t>2-3</t>
  </si>
  <si>
    <t>Small</t>
  </si>
  <si>
    <t>Extra large</t>
  </si>
  <si>
    <t>~25 cm / 10"</t>
  </si>
  <si>
    <t>~30 cm / 12"</t>
  </si>
  <si>
    <t>~35 cm / 14"</t>
  </si>
  <si>
    <t>~40 cm / 16"</t>
  </si>
  <si>
    <t>Valgt</t>
  </si>
  <si>
    <t>vand</t>
  </si>
  <si>
    <t>mel</t>
  </si>
  <si>
    <t>x 1,4</t>
  </si>
  <si>
    <t>x 2,0</t>
  </si>
  <si>
    <t>x 2,6</t>
  </si>
  <si>
    <t>x 1,0</t>
  </si>
  <si>
    <t>Personer</t>
  </si>
  <si>
    <t>Napolitansk</t>
  </si>
  <si>
    <t>Ift. small</t>
  </si>
  <si>
    <t>Forslag til antal</t>
  </si>
  <si>
    <t>NY Style</t>
  </si>
  <si>
    <t>Ikke almindeligt brugt til brøddeje, men nogle (lettere tossede bagere) vil lave disse brød.</t>
  </si>
  <si>
    <t>Vand</t>
  </si>
  <si>
    <t>Det er svært at rådgive om præcis hvor meget dej der skal bruges til en pizza, da det afhænger af mange faktorer, såsom hvordan du former din dej og hvor meget kant/skorpe du ønsker. 
Brug størrelserne som vejlendende og træk fra eller læg i forhold til dine preferencer.</t>
  </si>
  <si>
    <t>Hvidløgsolie</t>
  </si>
  <si>
    <t>Mel 1</t>
  </si>
  <si>
    <t>Mel 2</t>
  </si>
  <si>
    <t>Mængde mel i opskrift</t>
  </si>
  <si>
    <t>Chili-pasta</t>
  </si>
  <si>
    <t>Chili-sauce</t>
  </si>
  <si>
    <t>Chili-marmelade</t>
  </si>
  <si>
    <t>Æltetid i rørmaskine er altid vejledende, og kan variere</t>
  </si>
  <si>
    <t>afhængig af røremaskine.</t>
  </si>
  <si>
    <t>Hold derfor øje med dejen under sidste æltning, når dejen</t>
  </si>
  <si>
    <t>bliver "skær" (helt blank og glat) - så er den klar.</t>
  </si>
  <si>
    <t>g vand</t>
  </si>
  <si>
    <t>Dine tilpasninger (%)</t>
  </si>
  <si>
    <t>Korrekt vand temperatur beregnes således</t>
  </si>
  <si>
    <t>Ønsket dejtemperatur x2</t>
  </si>
  <si>
    <t>- Meltemperatur</t>
  </si>
  <si>
    <t>- Æltetid lav hastighed</t>
  </si>
  <si>
    <t>- Æltetid mellem hastighed</t>
  </si>
  <si>
    <t>1 min i mellem hastighed = 2°C pr. min</t>
  </si>
  <si>
    <t>1 min i lav hastighed = 1°C pr. min.</t>
  </si>
  <si>
    <t>- Temperatur under æltning:</t>
  </si>
  <si>
    <t>Det er meget vigtigt for en hvededej, at temperaturen</t>
  </si>
  <si>
    <t>tilfører dermed varme til dejen, hvilket betyder, at</t>
  </si>
  <si>
    <t>temperatur på vand og mel skal tilpasses ift. æltetid.</t>
  </si>
  <si>
    <r>
      <t xml:space="preserve">ender mellem </t>
    </r>
    <r>
      <rPr>
        <b/>
        <sz val="12"/>
        <rFont val="Calibri"/>
        <family val="2"/>
        <scheme val="minor"/>
      </rPr>
      <t>24-27°</t>
    </r>
    <r>
      <rPr>
        <sz val="12"/>
        <rFont val="Calibri"/>
        <family val="2"/>
        <scheme val="minor"/>
      </rPr>
      <t>. Røremaskinen skaber friktion og</t>
    </r>
  </si>
  <si>
    <t>(100%)</t>
  </si>
  <si>
    <t>Ønsket fordeling i %</t>
  </si>
  <si>
    <t>10 fed hvidløg</t>
  </si>
  <si>
    <t>150 ml. smagsneutral olie raps eller solsikke</t>
  </si>
  <si>
    <t>Varm olien i en gryde til ca 70-80 grader.</t>
  </si>
  <si>
    <t>Kom den varme olie og hvidløg i en minihakker og hak indtil ønsket konsistens.</t>
  </si>
  <si>
    <t>Alternativt kan du presse hvidløgene ned i den varme olie.</t>
  </si>
  <si>
    <t>Lad hvidløgsolien køle af og lad den gerne trække et døgn inden brug.</t>
  </si>
  <si>
    <t>Spice den evt. op med f.eks. oregan, basilikum, persille eller ramsløg.</t>
  </si>
  <si>
    <t>Kan opbevares i køleskabei i ca. 1 uge.</t>
  </si>
  <si>
    <t>Kan bruges på pizza, durum, dressinger, til marinade af kød, eller tilføjes på bagekartofler.</t>
  </si>
  <si>
    <t>1 stk salt</t>
  </si>
  <si>
    <t>Du kan bruge både friske og tørrede krydderurter, men tilsæt disse den dag du skal bruge olien.</t>
  </si>
  <si>
    <t>at blande flere meltyper og f.eks. benytte 80% hvedemel og 20% durummel.</t>
  </si>
  <si>
    <t>For at ændre smagsnuancer, sprødhed mm. kan man eksperimentere med</t>
  </si>
  <si>
    <t>Tag dejen ud. Form til pizza direkte fra køl.</t>
  </si>
  <si>
    <t>æltning, når dejen bliver "skær"</t>
  </si>
  <si>
    <t>Tips til optimal hydrering:</t>
  </si>
  <si>
    <t>11-13%</t>
  </si>
  <si>
    <t>Amerikansk</t>
  </si>
  <si>
    <t>Du kan udregne vægten på din dej, ved at tage udgangspunkt i din bageforms størrelse.</t>
  </si>
  <si>
    <t>Bageform længde (cm)</t>
  </si>
  <si>
    <t>Bageform bredde (cm)</t>
  </si>
  <si>
    <t>Italiensk</t>
  </si>
  <si>
    <t>§ Dejtemperatur ( hoveddej )</t>
  </si>
  <si>
    <t>speltsur/hvedesur</t>
  </si>
  <si>
    <t>speltsur el. hvedesur</t>
  </si>
  <si>
    <t>Ælt ca. 5 min. ved mellem hastighed og når dejen er skær, så er den klar.</t>
  </si>
  <si>
    <t>Når dejen er "skær" (helt blank og glat), er den klar.</t>
  </si>
  <si>
    <t>honning</t>
  </si>
  <si>
    <t>Protein</t>
  </si>
  <si>
    <t>W</t>
  </si>
  <si>
    <t>260/270</t>
  </si>
  <si>
    <t>300/320</t>
  </si>
  <si>
    <t>220/240</t>
  </si>
  <si>
    <t>270/290</t>
  </si>
  <si>
    <t>210/230</t>
  </si>
  <si>
    <t>Tipo 0</t>
  </si>
  <si>
    <t>Tipo 00</t>
  </si>
  <si>
    <t>320/340</t>
  </si>
  <si>
    <t>Frumenta Manitoba</t>
  </si>
  <si>
    <t>San Felice Gold</t>
  </si>
  <si>
    <t>350/360</t>
  </si>
  <si>
    <t>Styrke</t>
  </si>
  <si>
    <t>14-15%</t>
  </si>
  <si>
    <t>Caputo Speciale</t>
  </si>
  <si>
    <t>Caputo Classica</t>
  </si>
  <si>
    <t>Caputo Nuvola Super</t>
  </si>
  <si>
    <t>Caputo Manitoba</t>
  </si>
  <si>
    <t>Produkt</t>
  </si>
  <si>
    <t>13-14%</t>
  </si>
  <si>
    <t>300/310</t>
  </si>
  <si>
    <t>Type</t>
  </si>
  <si>
    <t>60-70%</t>
  </si>
  <si>
    <t>60-75%</t>
  </si>
  <si>
    <t>Caputo Pizzaria</t>
  </si>
  <si>
    <t>24-48 timer</t>
  </si>
  <si>
    <t>W (styrke)</t>
  </si>
  <si>
    <t>Fordeling af mel i %</t>
  </si>
  <si>
    <t>Fordeling af mel i gram</t>
  </si>
  <si>
    <t>9-10%</t>
  </si>
  <si>
    <t>10-11%</t>
  </si>
  <si>
    <t>12-13%</t>
  </si>
  <si>
    <t>W340 - W400</t>
  </si>
  <si>
    <r>
      <t>Pizzastørrelse</t>
    </r>
    <r>
      <rPr>
        <sz val="20"/>
        <rFont val="Calibri"/>
        <family val="2"/>
        <scheme val="minor"/>
      </rPr>
      <t xml:space="preserve"> (rund)</t>
    </r>
    <r>
      <rPr>
        <b/>
        <sz val="20"/>
        <rFont val="Calibri"/>
        <family val="2"/>
        <scheme val="minor"/>
      </rPr>
      <t xml:space="preserve"> og antal</t>
    </r>
  </si>
  <si>
    <t>PizzaTool by Torben Holm Kristensen</t>
  </si>
  <si>
    <t>olie</t>
  </si>
  <si>
    <t>For de bedste resultater i en hjemmeovn anbefales en hydrering på 65-70%. Årsagen til denne stigning i hydrering er, at pizzaen skal være i ovnen i længere tid, og derfor fordamper mere fugt.</t>
  </si>
  <si>
    <t>En autentisk napolitansk pizza laves typisk med en hydrering på et sted mellem 55,5 % og 62,5 %.</t>
  </si>
  <si>
    <t>Tilsæt salt og resten af melet og rør sammen. Tilsæt olie og ælt.</t>
  </si>
  <si>
    <t>olie i fremgang med autolyse????</t>
  </si>
  <si>
    <t>OBS: Denne poolish vil hæve til ca. dobbelt!</t>
  </si>
  <si>
    <t>Luk tæt med låg eller film og lad dejen hæve 30-60 min. ved stuetemperatur.</t>
  </si>
  <si>
    <t>Læg dejen i en skål og lad dejen hæve 30-60 min. ved stuetemperatur.</t>
  </si>
  <si>
    <t>Smør en skål med olivenolie og placer dejen heri (stadig med oversiden op).</t>
  </si>
  <si>
    <t>Rør poolish ud i vandet og tilsæt halvdelen af melet. Ælt godt sammen.</t>
  </si>
  <si>
    <t>Poolish'en røres ud i vandet, hvorefter halvdelen af melet tilsættes og æltes.</t>
  </si>
  <si>
    <t>Lad poolish hvile 20 min ved stuetemperatur.</t>
  </si>
  <si>
    <t>g speltsur el. hvedesur</t>
  </si>
  <si>
    <t>2</t>
  </si>
  <si>
    <r>
      <rPr>
        <b/>
        <sz val="14"/>
        <rFont val="Calibri"/>
        <family val="2"/>
        <scheme val="minor"/>
      </rPr>
      <t>Dejvægt til Detroit Style pizza</t>
    </r>
    <r>
      <rPr>
        <sz val="14"/>
        <rFont val="Calibri"/>
        <family val="2"/>
        <scheme val="minor"/>
      </rPr>
      <t xml:space="preserve"> </t>
    </r>
    <r>
      <rPr>
        <sz val="12"/>
        <rFont val="Calibri"/>
        <family val="2"/>
        <scheme val="minor"/>
      </rPr>
      <t xml:space="preserve"> (deep pan rektangulær)</t>
    </r>
  </si>
  <si>
    <t>Dejvægt til deep pan pizza</t>
  </si>
  <si>
    <t>Bageform diameter (cm)</t>
  </si>
  <si>
    <r>
      <rPr>
        <b/>
        <sz val="14"/>
        <rFont val="Calibri"/>
        <family val="2"/>
        <scheme val="minor"/>
      </rPr>
      <t>Dejvægt til pizza</t>
    </r>
    <r>
      <rPr>
        <sz val="14"/>
        <rFont val="Calibri"/>
        <family val="2"/>
        <scheme val="minor"/>
      </rPr>
      <t xml:space="preserve"> </t>
    </r>
    <r>
      <rPr>
        <sz val="12"/>
        <rFont val="Calibri"/>
        <family val="2"/>
        <scheme val="minor"/>
      </rPr>
      <t>(deep pan rund)</t>
    </r>
  </si>
  <si>
    <t>0.5%</t>
  </si>
  <si>
    <t>0.2%</t>
  </si>
  <si>
    <t>0.1%</t>
  </si>
  <si>
    <t>0.03%</t>
  </si>
  <si>
    <t>0.3%</t>
  </si>
  <si>
    <t>0.05%</t>
  </si>
  <si>
    <t>Temp</t>
  </si>
  <si>
    <t>Fermentering</t>
  </si>
  <si>
    <t>Stuetemp.</t>
  </si>
  <si>
    <t>Køleskab</t>
  </si>
  <si>
    <t>5 timer</t>
  </si>
  <si>
    <t>8 timer</t>
  </si>
  <si>
    <t>18 timer</t>
  </si>
  <si>
    <t>24 timer</t>
  </si>
  <si>
    <t>48 timer</t>
  </si>
  <si>
    <t>72 timer</t>
  </si>
  <si>
    <t>2 timer</t>
  </si>
  <si>
    <t>15-16%</t>
  </si>
  <si>
    <t>70-100%</t>
  </si>
  <si>
    <t>60-80%</t>
  </si>
  <si>
    <t>11-12%</t>
  </si>
  <si>
    <t>55-60%</t>
  </si>
  <si>
    <t>Napoletansk</t>
  </si>
  <si>
    <t>13-14,5%</t>
  </si>
  <si>
    <t>Total mængde mel</t>
  </si>
  <si>
    <t>4-24 timer</t>
  </si>
  <si>
    <t>styrke (W), kan du bruge nedenstående beregning.</t>
  </si>
  <si>
    <t>Hvis du ønsker at blande din mel for at ændre på</t>
  </si>
  <si>
    <t>Weak flours</t>
  </si>
  <si>
    <t>150-200</t>
  </si>
  <si>
    <t>Low strength flours</t>
  </si>
  <si>
    <t>200-250</t>
  </si>
  <si>
    <t>Reinforced flours</t>
  </si>
  <si>
    <t>250-300</t>
  </si>
  <si>
    <t>Strong flours</t>
  </si>
  <si>
    <t>300-400</t>
  </si>
  <si>
    <t>Modningstider</t>
  </si>
  <si>
    <t>Benævnelse</t>
  </si>
  <si>
    <t>&gt;72 timer</t>
  </si>
  <si>
    <t>64-75%</t>
  </si>
  <si>
    <t>48-72 timer</t>
  </si>
  <si>
    <t>San Felice Tradizionale</t>
  </si>
  <si>
    <t>8-16 timer ved 25°</t>
  </si>
  <si>
    <t>12-24 timer ved 25°</t>
  </si>
  <si>
    <t>Hvor meget protein skal man vælge?</t>
  </si>
  <si>
    <t>Hvilken styrke (W) skal man vælge?</t>
  </si>
  <si>
    <t>Style</t>
  </si>
  <si>
    <t>New York</t>
  </si>
  <si>
    <t>Detroit</t>
  </si>
  <si>
    <t>Chicago</t>
  </si>
  <si>
    <t>Sicilian</t>
  </si>
  <si>
    <t>8-24 timer</t>
  </si>
  <si>
    <t>Roman</t>
  </si>
  <si>
    <t>&gt;12%</t>
  </si>
  <si>
    <t>24-36 timer</t>
  </si>
  <si>
    <t>65%</t>
  </si>
  <si>
    <t>55,5-62,5%</t>
  </si>
  <si>
    <t>Pizza al Taglio</t>
  </si>
  <si>
    <t>&gt;75%</t>
  </si>
  <si>
    <t>Pinsa Romana</t>
  </si>
  <si>
    <t>50-55%</t>
  </si>
  <si>
    <t>Pizza Tonda</t>
  </si>
  <si>
    <t>65-70%</t>
  </si>
  <si>
    <t>40-50%</t>
  </si>
  <si>
    <t>70-75%</t>
  </si>
  <si>
    <t>Middel temp.</t>
  </si>
  <si>
    <t>Høj temp.</t>
  </si>
  <si>
    <t>Mel er mere end bare mel</t>
  </si>
  <si>
    <t xml:space="preserve">Det er faktisk ret kompliceret at finde ud af, hvilken slags mel man skal bruge. Og man skal prøve lidt for at finde den rigtige. Vi skal også huske, at temperaturen i Danmark er anderledes end i Italien.
</t>
  </si>
  <si>
    <t>Hydrering er udtrykt som en 'bagerprocent', som er i forhold til den samlede mængde mel i opskrifte. 
F.eks. hvis en opskrift krævede 100 gram mel, ville tilsætning af 60 gram vand give en dej med 60 % hydrering.
Meltyper vil variere efter, hvor meget vand de absorberer, så dette er også en vigtig faktor. Italiensk "00"-mel er den fint formalede kvalitet og denne fine formaling påvirker vandoptagelsen, så det resulterer i, at du ikke behøver så meget vand som almindeligt mel.</t>
  </si>
  <si>
    <t xml:space="preserve">Nedenfor er et overblik over hydrering i forhold til styrke. Dette er på ingen måde en absolut oversigt, da flere meltyper kan tåle både mere og mindre hydrering. derfor er det vigtigt, at du ikke brugeroversigten blindt, men dertimod bruger den som en anbefaling. </t>
  </si>
  <si>
    <t>Protein/Gluten</t>
  </si>
  <si>
    <t>Andelen af ​​protein i melet er mellem 9 og 16%. Gluten er et protein, der findes i hvede, rug, spelt og byg. Det er gluten, der danner netværket af bobler, der findes i bagværket. Disse bobler holder gas og fugt i dejen. Gluten fungerer som den "lim", der holder dejen sammen og forenkler forarbejdningen.</t>
  </si>
  <si>
    <t>Hydrering ift. ovn-temp.</t>
  </si>
  <si>
    <t>Styrke "W"</t>
  </si>
  <si>
    <t>En grov inddeling af mel styrke ser således ud</t>
  </si>
  <si>
    <r>
      <rPr>
        <b/>
        <sz val="12"/>
        <color rgb="FF000000"/>
        <rFont val="Calibri"/>
        <family val="2"/>
        <scheme val="minor"/>
      </rPr>
      <t xml:space="preserve">Svag </t>
    </r>
    <r>
      <rPr>
        <sz val="12"/>
        <color rgb="FF000000"/>
        <rFont val="Calibri"/>
        <family val="2"/>
        <scheme val="minor"/>
      </rPr>
      <t>meltype. Lavt proteinindhold på omkring 9 %. Bruges normalt til at bage kiks og kager. 
Melet kan absorbere op til 50 % vand</t>
    </r>
  </si>
  <si>
    <r>
      <rPr>
        <b/>
        <sz val="12"/>
        <color rgb="FF000000"/>
        <rFont val="Calibri"/>
        <family val="2"/>
        <scheme val="minor"/>
      </rPr>
      <t>Mellemstyrke</t>
    </r>
    <r>
      <rPr>
        <sz val="12"/>
        <color rgb="FF000000"/>
        <rFont val="Calibri"/>
        <family val="2"/>
        <scheme val="minor"/>
      </rPr>
      <t xml:space="preserve"> meltype. Disse bruges typisk til brød, pizza og focaccia. 
Melet er i stand til at optage mellem 65% og 75% vand.</t>
    </r>
  </si>
  <si>
    <r>
      <rPr>
        <b/>
        <sz val="12"/>
        <color rgb="FF000000"/>
        <rFont val="Calibri"/>
        <family val="2"/>
        <scheme val="minor"/>
      </rPr>
      <t>Stærk</t>
    </r>
    <r>
      <rPr>
        <sz val="12"/>
        <color rgb="FF000000"/>
        <rFont val="Calibri"/>
        <family val="2"/>
        <scheme val="minor"/>
      </rPr>
      <t xml:space="preserve"> meltype. Disse bruges til deje, der skal hæve i lang tid. Gerne flere dage. Bruges ofte til pizza og brøddej. Melet optager mellem 65% og 75% vand.</t>
    </r>
  </si>
  <si>
    <t>W240 - W300</t>
  </si>
  <si>
    <t>W300 - W340</t>
  </si>
  <si>
    <t>Dette er ideelt, hvis du ønsker at opnå en udviklet og luftig dej via en fordel (biga, poolish).</t>
  </si>
  <si>
    <t>Dette er den rigtige styrke, hvis du vil lave en dej med lang hviletid og meget høj hydrering.</t>
  </si>
  <si>
    <t>90 - 160 W</t>
  </si>
  <si>
    <t>160 - 250 W</t>
  </si>
  <si>
    <t>&gt; 310 W</t>
  </si>
  <si>
    <t>250 - 310 W</t>
  </si>
  <si>
    <t>W - styrke</t>
  </si>
  <si>
    <t>W90-220</t>
  </si>
  <si>
    <t>W160-240</t>
  </si>
  <si>
    <t>W220-260</t>
  </si>
  <si>
    <t>W240-290</t>
  </si>
  <si>
    <t>W270-340</t>
  </si>
  <si>
    <t>W320-430</t>
  </si>
  <si>
    <t>W360-400+</t>
  </si>
  <si>
    <t>Styrken kan også måles på melets proteinindhold, men som forklaret tidligere, kan du ikke altid stole på proteinindholdet. Men i langt de fleste tilfælde, hvor der ikke er tale om et specialfremstillet mel fra Italien, kan denne omregningstabel bruges.</t>
  </si>
  <si>
    <t>Omregning fra protein til W</t>
  </si>
  <si>
    <t>Justering af styrke</t>
  </si>
  <si>
    <r>
      <t>Produkt-</t>
    </r>
    <r>
      <rPr>
        <b/>
        <i/>
        <u/>
        <sz val="20"/>
        <color theme="1"/>
        <rFont val="Calibri"/>
        <family val="2"/>
        <scheme val="minor"/>
      </rPr>
      <t>vejledninger</t>
    </r>
  </si>
  <si>
    <t>Juster valget af protein/W efter længden af ​​fermentering. Ved en 8-timers fermentering bør du være tættere på 11%, mens du ved en 48-timers fermentering vil være tættere på 13%.</t>
  </si>
  <si>
    <t>I en pizzaovn, der kan nå mere end 480°C, har du brug for mel, der ikke brænder på. Caputo Pizzeria er Caputos professionelle pizzamel-serie, designet specielt til pizza bagt i brændefyrede pizzaovne. Men laver også perfekt pizza i en hjemmeovn.</t>
  </si>
  <si>
    <r>
      <rPr>
        <b/>
        <sz val="12"/>
        <color rgb="FF000000"/>
        <rFont val="Calibri"/>
        <family val="2"/>
        <scheme val="minor"/>
      </rPr>
      <t>Special</t>
    </r>
    <r>
      <rPr>
        <sz val="12"/>
        <color rgb="FF000000"/>
        <rFont val="Calibri"/>
        <family val="2"/>
        <scheme val="minor"/>
      </rPr>
      <t>. Blandes ofte med andre meltyper for at øge dets styrke. 
Dette mel kan absorbere op til 90 % vand.</t>
    </r>
  </si>
  <si>
    <t>tt:mm</t>
  </si>
  <si>
    <t>hvedemel tipo 00</t>
  </si>
  <si>
    <t>olivenolie</t>
  </si>
  <si>
    <t>Tag dejen ud 4-6 timer før pizzaerne skal tilberedes - Således tempererer de og bliver nemmere arbejde med.</t>
  </si>
  <si>
    <t>Biga</t>
  </si>
  <si>
    <t>Hvedemel</t>
  </si>
  <si>
    <t>Lad den gerne hvile i 5 min. hvorefter den foldes/strammes op.</t>
  </si>
  <si>
    <t>Fig. 1</t>
  </si>
  <si>
    <t>g biga</t>
  </si>
  <si>
    <t>biga</t>
  </si>
  <si>
    <t>Lav en hybrid-mel</t>
  </si>
  <si>
    <t>Hvedemel er hovedsageligt opdelt i stivelse (64-74%) og protein (9-16%).
Melets styrke bestemmes af glutens evne til at udvikle sig og dens evne til at optage vand. Jo mere protein der er i melet, jo mere gluten vil der udvikles i dejen.
Styrken af ​​mel måles med et indeks kaldet "Alveograph Chopin", og blev opfundet af Marcel Chopin i 1921. Styrken er angivet i "W". Styrken bestemmer melets "modstand" mod gæring.
Et højt niveau af "W" (styrke) indikerer et højt indhold af gluten. Og jo højere melets styrke er, jo mere vand vil det suge til sig, og dejen vil tage længere tid om at hæve. Årsagen er, at glutenmassen i dejen bliver mere kompakt og modstandsdygtig. Et lavere styrkeniveau (W) indikerer, at glutenindholdet er lavere. Melet vil absorbere mindre vand og jæve hurtigere, fordi glutennetværket lettere frigiver gas.
Grundlæggende er proteinindholdet parallelt med styrken "W". Det betyder, at et lavt proteinindhold har en lav styrke og et højt proteinindhold giver en høj styrke. Men styrken "W" i melet er vigtigere at tage højde for end mængden af ​​protein. Fordi et mel kan fremstilles med en høj styrke, uden at proteinindholdet nødvendigvis er særlig højt. Et eksempel er Le5stagionis Pizza Napoletana mel. Denne har en styrke på W310, men et proteinindhold på 11,5%. Men kender man ikke melets styrke, kan man gå ud fra, at proteinindholdet også repræsenterer melets styrke. Altså fra svag på 9 % til meget stærk på 16 %.</t>
  </si>
  <si>
    <t>Dejen er færdigæltet, nå dejen er "skær" (helt blank og glat) og kan strækkes langt.</t>
  </si>
  <si>
    <r>
      <t xml:space="preserve">TOP </t>
    </r>
    <r>
      <rPr>
        <b/>
        <sz val="24"/>
        <color theme="0"/>
        <rFont val="Ahini"/>
      </rPr>
      <t>⤴</t>
    </r>
  </si>
  <si>
    <t>Når du laver napolitansk pizza, så brug Tipo 0 eller Tipo 00 mel. 
Tipo er en klassificering af mel på den italienske melskala, og disse meltyper har det helt rigtige proteinindhold - omkring 12,5 % til pizzabagning. Både Tipo 0 og Tipo 00 er også godkendt af AVPN (The True Neapolitan Pizza Association), som administrerer de internationale regler for napolitansk pizza.
Kort sagt bestemmer proteinindholdet i mel mængden af ​​gluten, der dannes i dejen. Som et resultat dikterer glutenindholdet skorpens tekstur. Gluten dannes, når stivelsesmolekyler binder sig sammen i kontakt med vand og danner et elastisk system. Jo mere protein der er i melet, jo mere gluten dannes og dermed skabes den robuste tekstur af pizzaskorpe. Jo mere gluten der er, jo sejere er skorpenes tekstur.</t>
  </si>
  <si>
    <t>Starter</t>
  </si>
  <si>
    <t>Tiga</t>
  </si>
  <si>
    <t>malt</t>
  </si>
  <si>
    <t>Credit Tony Gemignani</t>
  </si>
  <si>
    <t>Tony's ingredienser</t>
  </si>
  <si>
    <t>Hoveddej +</t>
  </si>
  <si>
    <t>Hvis dejen ikke er sammenhængende, så tilføj ca. 2-3 g. vand og bland indtil dejen er</t>
  </si>
  <si>
    <t>sammenhængende.</t>
  </si>
  <si>
    <t>Tilføj salt og ælt på laveste hastighed i 1 minut.</t>
  </si>
  <si>
    <t>Inspired by New York-style</t>
  </si>
  <si>
    <t>Tony Gemignani's Master Dough with Starter</t>
  </si>
  <si>
    <t>g i alt</t>
  </si>
  <si>
    <t>diastatisk malt</t>
  </si>
  <si>
    <t>Opløs gæren i vandet og tilsæt melet. Spred alle dine finger og kør dem igennem</t>
  </si>
  <si>
    <t>Ælt dejen i 6-9 min ved laveste hastighed.</t>
  </si>
  <si>
    <t>Ælt dejen i 5-7 min ved lav hastighed.</t>
  </si>
  <si>
    <t>Stram dejen godt op, og lade den hvile 20-30 min.</t>
  </si>
  <si>
    <t>Hæld bigaen op i din røremaskine og tilsæt vandet lidt efter lidt under omrøring.</t>
  </si>
  <si>
    <r>
      <t xml:space="preserve">Lad dejen hvile i </t>
    </r>
    <r>
      <rPr>
        <b/>
        <sz val="12"/>
        <color theme="1"/>
        <rFont val="Calibri"/>
        <family val="2"/>
        <scheme val="minor"/>
      </rPr>
      <t>30 min.</t>
    </r>
    <r>
      <rPr>
        <sz val="12"/>
        <color theme="1"/>
        <rFont val="Calibri"/>
        <family val="2"/>
        <scheme val="minor"/>
      </rPr>
      <t xml:space="preserve"> (fermentolyse).</t>
    </r>
  </si>
  <si>
    <r>
      <t xml:space="preserve">Kom herefter salten i og ælt dejen i </t>
    </r>
    <r>
      <rPr>
        <b/>
        <sz val="12"/>
        <color theme="1"/>
        <rFont val="Calibri"/>
        <family val="2"/>
        <scheme val="minor"/>
      </rPr>
      <t>5 min.</t>
    </r>
    <r>
      <rPr>
        <sz val="12"/>
        <color theme="1"/>
        <rFont val="Calibri"/>
        <family val="2"/>
        <scheme val="minor"/>
      </rPr>
      <t xml:space="preserve">  ved lav hastighed.</t>
    </r>
  </si>
  <si>
    <r>
      <t xml:space="preserve">Lad dejen hvile i </t>
    </r>
    <r>
      <rPr>
        <b/>
        <sz val="12"/>
        <color theme="1"/>
        <rFont val="Calibri"/>
        <family val="2"/>
        <scheme val="minor"/>
      </rPr>
      <t>10 min.</t>
    </r>
  </si>
  <si>
    <r>
      <t xml:space="preserve">Ælt ca. </t>
    </r>
    <r>
      <rPr>
        <b/>
        <sz val="12"/>
        <color theme="1"/>
        <rFont val="Calibri"/>
        <family val="2"/>
        <scheme val="minor"/>
      </rPr>
      <t xml:space="preserve">5 min. </t>
    </r>
    <r>
      <rPr>
        <sz val="12"/>
        <color theme="1"/>
        <rFont val="Calibri"/>
        <family val="2"/>
        <scheme val="minor"/>
      </rPr>
      <t>ved mellem hastighed og når dejen er skær, så er den klar.</t>
    </r>
  </si>
  <si>
    <r>
      <t xml:space="preserve">Lad dejen bulkhæve i skål/kasse som er tildækket i </t>
    </r>
    <r>
      <rPr>
        <b/>
        <sz val="12"/>
        <color theme="1"/>
        <rFont val="Calibri"/>
        <family val="2"/>
        <scheme val="minor"/>
      </rPr>
      <t>4-6 timer</t>
    </r>
    <r>
      <rPr>
        <sz val="12"/>
        <color theme="1"/>
        <rFont val="Calibri"/>
        <family val="2"/>
        <scheme val="minor"/>
      </rPr>
      <t xml:space="preserve"> (eller til dejen har hævet 30-40%).</t>
    </r>
  </si>
  <si>
    <t>BAGERKOKKENS CORNER</t>
  </si>
  <si>
    <t>Mel 3</t>
  </si>
  <si>
    <t>%</t>
  </si>
  <si>
    <t>Bakers</t>
  </si>
  <si>
    <t>Mængde</t>
  </si>
  <si>
    <t>Resultat</t>
  </si>
  <si>
    <t>Ingredienser der ønskes 'reverse engineered'</t>
  </si>
  <si>
    <t xml:space="preserve">
Øvrige
ingredienser</t>
  </si>
  <si>
    <t xml:space="preserve">Forsæt jf. fremgangsmåden og brug mængden af </t>
  </si>
  <si>
    <t>ingredienser nedenfor.</t>
  </si>
  <si>
    <t>(Direkte dej - dvs. ingen fordej - måske i næste version...)</t>
  </si>
  <si>
    <t>Kurser</t>
  </si>
  <si>
    <t>Arrangementer</t>
  </si>
  <si>
    <t>Opskrifter</t>
  </si>
  <si>
    <t>Om</t>
  </si>
  <si>
    <t>Kontakt</t>
  </si>
  <si>
    <t>Tip: Ønsker du i stedet, at bage samme dag, så lad kuglerne stå ved stuetemperatur i 5-8 timer inden de formes til pizza.</t>
  </si>
  <si>
    <t>Finder du en god opskrift og den ikke er i PizzaTool, så kan du nedenfor omskalere ingredienserne, så de passer din den mængde du ønsker at lave.</t>
  </si>
  <si>
    <t>Mel og vand røres let sammen til dejen samler sig.</t>
  </si>
  <si>
    <t>Lad stå bigaen i en overdækket beholder (f.eks. en hævekasse) ved stuetemperatur</t>
  </si>
  <si>
    <t>(mel i) poolish</t>
  </si>
  <si>
    <t>% af mel i poolish</t>
  </si>
  <si>
    <t>Opløs gæren i vandet.</t>
  </si>
  <si>
    <t>Tilsæt mel til vandet i en mixer og ælt til dejen samler sig.</t>
  </si>
  <si>
    <t>Tilsæt salt og ælt indtil dejen er glat og fin, uden at temperaturen</t>
  </si>
  <si>
    <t>overskrider 26° (slut temperaturen skal ligge på 24-26°).</t>
  </si>
  <si>
    <t>derefter til én stor bolle.</t>
  </si>
  <si>
    <t>Lad nu dejen hvile i 16 timer ved stueremperatur (~21°)</t>
  </si>
  <si>
    <t>Lad bollerne hæve overdækket yderligere 8 timer ved stueremperatur, hvorefter de er klar til bagning.</t>
  </si>
  <si>
    <t>Sebastians 24 timers dej</t>
  </si>
  <si>
    <t>Lad dejen hvile 30 min i en hævekasse og form den</t>
  </si>
  <si>
    <t>tipo 0 eller 00</t>
  </si>
  <si>
    <t>Sebastians Ingredienser</t>
  </si>
  <si>
    <t>Bages ved 315-370°C.</t>
  </si>
  <si>
    <t>I løbet af denne time, skal du folde dejen 3 gange (hvert 20. min.).</t>
  </si>
  <si>
    <t>Lad dejen bulk-hæve i 1 time ved stuetemperatur (i en beholder let smurt med olivenolie).</t>
  </si>
  <si>
    <t>Fold dejen et par gange til den føles glat.</t>
  </si>
  <si>
    <t>Ælt dejen i 5 min og lade den hvile 2 min.</t>
  </si>
  <si>
    <t>Ælt dejen i 5 min, og lade den hvile 5 min.</t>
  </si>
  <si>
    <t>Tilsæt salt og ælt i 4 min. hvorefter den skal hvile i 5 min.</t>
  </si>
  <si>
    <t>Lad dejen hvile ved stuetemperatur i 10 min.</t>
  </si>
  <si>
    <t>Ælt det indtil det samler sig til en dej.</t>
  </si>
  <si>
    <t>(den samlede process dag 1 tager ca 2½ time)</t>
  </si>
  <si>
    <t>Fuldkornsmel</t>
  </si>
  <si>
    <t>Ja</t>
  </si>
  <si>
    <t>fuldkornsmel</t>
  </si>
  <si>
    <t>fintmalet fuldkornsmel</t>
  </si>
  <si>
    <t>Credit Oskar Montanos</t>
  </si>
  <si>
    <t>New York Style pizza</t>
  </si>
  <si>
    <t>Reciepe cortesy of Sebastian Jespersen</t>
  </si>
  <si>
    <t>Hviletid i 45 min. (autolyse)</t>
  </si>
  <si>
    <t>Lad dejen hvile i ca. 15 min.</t>
  </si>
  <si>
    <t>Lad dejen hvile i ca. 20-25 min.</t>
  </si>
  <si>
    <t>Voksne</t>
  </si>
  <si>
    <t>Børn</t>
  </si>
  <si>
    <t>Fra</t>
  </si>
  <si>
    <t>Til</t>
  </si>
  <si>
    <t>Pre. dif.</t>
  </si>
  <si>
    <t>Selvvalgt</t>
  </si>
  <si>
    <t>Forslag til antal pizza</t>
  </si>
  <si>
    <t>Hvis du tilføjer olie, så gør det ikke for tidligt - det vil dække melet og forhindre vandet i at fugte det ordentligt. Tilsæt altid olien i slutningen af ​​blandingen.
Læg dit mel i autolyse i vandet i 30 minutter, før du tilføjer de andre ingredienser. 
Dette gør det muligt for melet at hydrere fuldt ud, før gær og salt tilsættes. Denne proces kaldes en autolyse.
Tilsæt ikke yderligere mel på bordet, når du blander og former. Det kan ændre din hydrering. 
Brug en lille smule ad gangen, eller lidt olivenolie.
For hjælp til våd dej, brug en dejskraber, mens du ælter. 
Brug den ene hånd til at skubbe og folde dejen og skraberen til at samle den fra bordet.</t>
  </si>
  <si>
    <r>
      <t xml:space="preserve">blandingen, uden at ælte. Bliv ved indtil der ikke er mere mel i bunden. </t>
    </r>
    <r>
      <rPr>
        <i/>
        <sz val="12"/>
        <color theme="1"/>
        <rFont val="Calibri"/>
        <family val="2"/>
        <scheme val="minor"/>
      </rPr>
      <t>Se fig. 1</t>
    </r>
  </si>
  <si>
    <t>(Alternativ: hæld ingredienserne i en hævekasse og træk den hurtigt frem og tilbage.)</t>
  </si>
  <si>
    <t>Valgfri tilpasninger (%)</t>
  </si>
  <si>
    <t>*</t>
  </si>
  <si>
    <t>Røremaskinen skaber friktion og tilfører varme.</t>
  </si>
  <si>
    <t>Tilpas derfor temperaturen på vandet.</t>
  </si>
  <si>
    <t>stuetemperatur og opbevares på køl i op til 3 dage.</t>
  </si>
  <si>
    <t>Poolish kan fermenteres op til 4 timer ved</t>
  </si>
  <si>
    <r>
      <t xml:space="preserve">Sæt poolishen (stadig i lukket beholder) i køleskabet i </t>
    </r>
    <r>
      <rPr>
        <b/>
        <sz val="13"/>
        <color theme="1"/>
        <rFont val="Calibri"/>
        <family val="2"/>
        <scheme val="minor"/>
      </rPr>
      <t>20-24 timer</t>
    </r>
    <r>
      <rPr>
        <sz val="13"/>
        <color theme="1"/>
        <rFont val="Calibri"/>
        <family val="2"/>
        <scheme val="minor"/>
      </rPr>
      <t xml:space="preserve"> (1. fermentering).</t>
    </r>
  </si>
  <si>
    <r>
      <t xml:space="preserve">Tag poolish'en ud af køleskabet og lad den stå ved stuetemperatur i </t>
    </r>
    <r>
      <rPr>
        <b/>
        <sz val="13"/>
        <color theme="1"/>
        <rFont val="Calibri"/>
        <family val="2"/>
        <scheme val="minor"/>
      </rPr>
      <t>1 time</t>
    </r>
    <r>
      <rPr>
        <sz val="13"/>
        <color theme="1"/>
        <rFont val="Calibri"/>
        <family val="2"/>
        <scheme val="minor"/>
      </rPr>
      <t>.</t>
    </r>
  </si>
  <si>
    <r>
      <t xml:space="preserve">Ælt dejen i </t>
    </r>
    <r>
      <rPr>
        <b/>
        <sz val="13"/>
        <color theme="1"/>
        <rFont val="Calibri"/>
        <family val="2"/>
        <scheme val="minor"/>
      </rPr>
      <t>5 min.</t>
    </r>
    <r>
      <rPr>
        <sz val="13"/>
        <color theme="1"/>
        <rFont val="Calibri"/>
        <family val="2"/>
        <scheme val="minor"/>
      </rPr>
      <t xml:space="preserve"> ved </t>
    </r>
    <r>
      <rPr>
        <b/>
        <sz val="13"/>
        <color theme="1"/>
        <rFont val="Calibri"/>
        <family val="2"/>
        <scheme val="minor"/>
      </rPr>
      <t>lav hastighed.</t>
    </r>
  </si>
  <si>
    <r>
      <t xml:space="preserve">Lad nu dejen bulk-hæve i </t>
    </r>
    <r>
      <rPr>
        <b/>
        <sz val="13"/>
        <color theme="1"/>
        <rFont val="Calibri"/>
        <family val="2"/>
        <scheme val="minor"/>
      </rPr>
      <t>1 time</t>
    </r>
    <r>
      <rPr>
        <sz val="13"/>
        <color theme="1"/>
        <rFont val="Calibri"/>
        <family val="2"/>
        <scheme val="minor"/>
      </rPr>
      <t xml:space="preserve"> ved stuetemperatur (i en skål som er let smurt med olivenolie).</t>
    </r>
  </si>
  <si>
    <t>Til denne  opskrift anbefales en mel med min. 13% protein.</t>
  </si>
  <si>
    <t>faktor</t>
  </si>
  <si>
    <t>Afspil video</t>
  </si>
  <si>
    <t>Dejen er klar når den er blank, glat og kan strækkes langt.</t>
  </si>
  <si>
    <t>Sørg for at hoveddejen ender på 24-27°C.</t>
  </si>
  <si>
    <t>Vand i hoveddejen skal være det koldeste fra hanen.</t>
  </si>
  <si>
    <r>
      <t xml:space="preserve">Tag dejen ud </t>
    </r>
    <r>
      <rPr>
        <b/>
        <sz val="12"/>
        <color theme="1"/>
        <rFont val="Calibri"/>
        <family val="2"/>
        <scheme val="minor"/>
      </rPr>
      <t>4-6 timer</t>
    </r>
    <r>
      <rPr>
        <sz val="12"/>
        <color theme="1"/>
        <rFont val="Calibri"/>
        <family val="2"/>
        <scheme val="minor"/>
      </rPr>
      <t xml:space="preserve"> før tilberedning - Således tempererer de og bliver nemmere arbejde med.</t>
    </r>
  </si>
  <si>
    <t>Den færdige dej temperatur skal ikke overstige 27°.</t>
  </si>
  <si>
    <t>Salt og gær tilsættes.</t>
  </si>
  <si>
    <t>Valg</t>
  </si>
  <si>
    <t>Længde</t>
  </si>
  <si>
    <t>Bredde</t>
  </si>
  <si>
    <t>Beregning af dejvægt</t>
  </si>
  <si>
    <t>Fad/bakke (rektangulær)</t>
  </si>
  <si>
    <t>køleskabet, da den alene skal hvile ved stuetemperatur.</t>
  </si>
  <si>
    <t>Opskriften er god hvis du ikke har plads til koldhævning i</t>
  </si>
  <si>
    <t>g. vand (kold)</t>
  </si>
  <si>
    <t>Fabrikat</t>
  </si>
  <si>
    <t>Malteserkors</t>
  </si>
  <si>
    <t>Caputo Lievito</t>
  </si>
  <si>
    <t>Doves Glutenfri</t>
  </si>
  <si>
    <t>Valsemøllen</t>
  </si>
  <si>
    <t>ADY (ATG)</t>
  </si>
  <si>
    <t>Instaferm Red</t>
  </si>
  <si>
    <t>Bioreal Øko.</t>
  </si>
  <si>
    <t>IDY (TG)</t>
  </si>
  <si>
    <t>Frisk gær kan udvikle sig forskelligt fra gang til gang, afhængig af hvor frisk gæren er. Derfor kan det være en fordel at bruge</t>
  </si>
  <si>
    <t>tørgær, da det ikke mister styrke og derfor udvikler sig på samme samme måde i dejen hver gang du bruger det.</t>
  </si>
  <si>
    <t>Den tørgær vi typisk finder i de danske supermarkeder er Malteserkors tørgær, som er en almindelig tørgær (IDY).</t>
  </si>
  <si>
    <t>1 : 3</t>
  </si>
  <si>
    <t>1 : 4</t>
  </si>
  <si>
    <t>Tør til frisk</t>
  </si>
  <si>
    <t>Aktiv tørgær kan holde sig længere end tørgær.</t>
  </si>
  <si>
    <t>IDY Tørgær</t>
  </si>
  <si>
    <t>Kaldes ogå vådgær eller pressegær.</t>
  </si>
  <si>
    <t>TG (IDY / Instant Dry Yeast)</t>
  </si>
  <si>
    <t>ATG (ADY / Active Dry Yeast)</t>
  </si>
  <si>
    <t>FG (FY / Fresh Yeast)</t>
  </si>
  <si>
    <t>Som tommerfingerregel svarer 1 gram tørgær til 4 gram frisk gær. I hvert fald når man taler</t>
  </si>
  <si>
    <t>konsument-gær. Den bagergær som håndværksbagerne benytter er ofte en my stærkere,</t>
  </si>
  <si>
    <t>hvorfor man her vil regne 1 gram tørgær til 3 gram frisk gær.</t>
  </si>
  <si>
    <t>Når man taler om gær til pizza-bagning, er der overordnet 3 forskellige typer: frisk gær, tørgær og aktiv tørgær.</t>
  </si>
  <si>
    <t>Den færdige dej temperatur bør ikke overstige 27°.</t>
  </si>
  <si>
    <t>En skrøne er, at frisk gær ikke har godt af at komme i kontakt med salt. Det er dog ikke en</t>
  </si>
  <si>
    <t>udfordring mere med den gær vi har i dag.</t>
  </si>
  <si>
    <t>Skal din dej æltes længe på røremaskine, så kan du med fordel bruge koldere vand, da dejen varmes op under den lange æltning.</t>
  </si>
  <si>
    <t>Du kan derfor risikere, at din dej bliver for varm for gærcellerne, hvis du starter ud med lunkent vand.</t>
  </si>
  <si>
    <t xml:space="preserve">Tørgær består af fine granulater, som lader gæren opløses hurtigere når den blandes med væske. </t>
  </si>
  <si>
    <t>Når dejen, under æltning, når en temperatur på 18-22°C begynder gæren at arbejde.</t>
  </si>
  <si>
    <t>Kan tilføjes direkte til opskriften (blandes med mel), og behøver ikke opløses i vand først.</t>
  </si>
  <si>
    <t>aktiv tørgær 1:3</t>
  </si>
  <si>
    <t>tørgær 1:3</t>
  </si>
  <si>
    <t>tørgær 1:4</t>
  </si>
  <si>
    <t>aktiv tørgær</t>
  </si>
  <si>
    <t>Print</t>
  </si>
  <si>
    <t>frisk gær 4:1</t>
  </si>
  <si>
    <t>frisk gær 3:1</t>
  </si>
  <si>
    <t>g vand (25-27°)</t>
  </si>
  <si>
    <t>Dag 1 - Poolish</t>
  </si>
  <si>
    <t>Dag 2 - Hoveddej</t>
  </si>
  <si>
    <t>g vand (25°)</t>
  </si>
  <si>
    <r>
      <rPr>
        <b/>
        <i/>
        <sz val="11"/>
        <color theme="1"/>
        <rFont val="Calibri"/>
        <family val="2"/>
        <scheme val="minor"/>
      </rPr>
      <t xml:space="preserve">Tip     </t>
    </r>
    <r>
      <rPr>
        <b/>
        <sz val="11"/>
        <color theme="1"/>
        <rFont val="Calibri"/>
        <family val="2"/>
        <scheme val="minor"/>
      </rPr>
      <t>*</t>
    </r>
  </si>
  <si>
    <t>Honning og olie kan undværes.</t>
  </si>
  <si>
    <r>
      <t xml:space="preserve">Lad bollerne hvile ved </t>
    </r>
    <r>
      <rPr>
        <b/>
        <sz val="12"/>
        <rFont val="Calibri"/>
        <family val="2"/>
        <scheme val="minor"/>
      </rPr>
      <t>stuetemperatur i 30-60 minutter</t>
    </r>
    <r>
      <rPr>
        <sz val="12"/>
        <rFont val="Calibri"/>
        <family val="2"/>
        <scheme val="minor"/>
      </rPr>
      <t xml:space="preserve"> i en lufttæt beholder.</t>
    </r>
  </si>
  <si>
    <t>g lunken vand</t>
  </si>
  <si>
    <r>
      <t xml:space="preserve">Dejen skal nu hæve </t>
    </r>
    <r>
      <rPr>
        <b/>
        <sz val="12"/>
        <rFont val="Calibri"/>
        <family val="2"/>
        <scheme val="minor"/>
      </rPr>
      <t>1-2 time</t>
    </r>
    <r>
      <rPr>
        <sz val="12"/>
        <rFont val="Calibri"/>
        <family val="2"/>
        <scheme val="minor"/>
      </rPr>
      <t>r ved stue temperatur.</t>
    </r>
  </si>
  <si>
    <r>
      <t>Lad bollerne hæve i</t>
    </r>
    <r>
      <rPr>
        <b/>
        <sz val="12"/>
        <rFont val="Calibri"/>
        <family val="2"/>
        <scheme val="minor"/>
      </rPr>
      <t xml:space="preserve"> 20-30 min</t>
    </r>
    <r>
      <rPr>
        <sz val="12"/>
        <rFont val="Calibri"/>
        <family val="2"/>
        <scheme val="minor"/>
      </rPr>
      <t xml:space="preserve"> til de har ca. dobbelt størrelse.</t>
    </r>
  </si>
  <si>
    <t xml:space="preserve">g mel tipo 00 </t>
  </si>
  <si>
    <t>Fintmalet fuldkornsmel (f.eks. Emmermel) tilfører mere smag.</t>
  </si>
  <si>
    <t xml:space="preserve">Lad dejen hvile 10 min. </t>
  </si>
  <si>
    <t>Stram op som kugler og kom dem i en pizza hævekasse, hvorefter de kommes på køl i 20-48 timer.</t>
  </si>
  <si>
    <t>Den færdige dej temperatur må ikke overstige 27°.</t>
  </si>
  <si>
    <t>Husk: æltetider er vejlendende, da der er forskel på maskiner.</t>
  </si>
  <si>
    <t>g vand (fra køl 5-7°)</t>
  </si>
  <si>
    <t xml:space="preserve">blandingen (uden at ælte). Bliv ved indtil der ikke er mere mel i bunden. </t>
  </si>
  <si>
    <r>
      <t xml:space="preserve">Stram op som kugler og kom dem i en lukket beholder/hævekasse. Herefter på køl </t>
    </r>
    <r>
      <rPr>
        <b/>
        <sz val="12"/>
        <color theme="1"/>
        <rFont val="Calibri"/>
        <family val="2"/>
        <scheme val="minor"/>
      </rPr>
      <t>24-48 timer</t>
    </r>
    <r>
      <rPr>
        <sz val="12"/>
        <color theme="1"/>
        <rFont val="Calibri"/>
        <family val="2"/>
        <scheme val="minor"/>
      </rPr>
      <t xml:space="preserve">. </t>
    </r>
  </si>
  <si>
    <t>Husk: æltetider er vejledende.</t>
  </si>
  <si>
    <r>
      <t xml:space="preserve">Lad dejen </t>
    </r>
    <r>
      <rPr>
        <b/>
        <sz val="12"/>
        <color theme="1"/>
        <rFont val="Calibri"/>
        <family val="2"/>
        <scheme val="minor"/>
      </rPr>
      <t xml:space="preserve">hvile ved stuetemperatur i 20-25 min. </t>
    </r>
    <r>
      <rPr>
        <sz val="12"/>
        <color theme="1"/>
        <rFont val="Calibri"/>
        <family val="2"/>
        <scheme val="minor"/>
      </rPr>
      <t>(autolyse).</t>
    </r>
  </si>
  <si>
    <t>Tilføj salt og rør det godt ud.</t>
  </si>
  <si>
    <t>Placer dejkuglerne i en hævekasse/lukket beholder.</t>
  </si>
  <si>
    <t>Lad stå bigaen i lufttæt beholder/hævekasse ved stuetemperatur 30-60 min.</t>
  </si>
  <si>
    <t>Dejen er færdigæltet, nå dejen er  blank og glat og kan strækkes langt. Gerne maks. 20°</t>
  </si>
  <si>
    <t>Tag bigaen direkte fra køl og kom bigaen op i din rørekedel og tilsæt vandet.</t>
  </si>
  <si>
    <t>Hoveddejen må helst ikke overstige 20°.</t>
  </si>
  <si>
    <t>g. dej total</t>
  </si>
  <si>
    <r>
      <t xml:space="preserve">Lad det hæve i en lukket beholder/hævekasse i </t>
    </r>
    <r>
      <rPr>
        <b/>
        <sz val="13"/>
        <color theme="1"/>
        <rFont val="Calibri"/>
        <family val="2"/>
        <scheme val="minor"/>
      </rPr>
      <t>1 time</t>
    </r>
    <r>
      <rPr>
        <sz val="13"/>
        <color theme="1"/>
        <rFont val="Calibri"/>
        <family val="2"/>
        <scheme val="minor"/>
      </rPr>
      <t xml:space="preserve"> ved stuetemperatur.</t>
    </r>
  </si>
  <si>
    <r>
      <t xml:space="preserve">Tilsæt salt og ælt yderligere </t>
    </r>
    <r>
      <rPr>
        <b/>
        <sz val="13"/>
        <color theme="1"/>
        <rFont val="Calibri"/>
        <family val="2"/>
        <scheme val="minor"/>
      </rPr>
      <t>5 min.</t>
    </r>
    <r>
      <rPr>
        <sz val="13"/>
        <color theme="1"/>
        <rFont val="Calibri"/>
        <family val="2"/>
        <scheme val="minor"/>
      </rPr>
      <t xml:space="preserve"> ved </t>
    </r>
    <r>
      <rPr>
        <b/>
        <sz val="13"/>
        <color theme="1"/>
        <rFont val="Calibri"/>
        <family val="2"/>
        <scheme val="minor"/>
      </rPr>
      <t>mellem hastighed</t>
    </r>
    <r>
      <rPr>
        <sz val="13"/>
        <color theme="1"/>
        <rFont val="Calibri"/>
        <family val="2"/>
        <scheme val="minor"/>
      </rPr>
      <t>.</t>
    </r>
  </si>
  <si>
    <t>Dejen er færdig, når den er "skær" (helt blank og glat).</t>
  </si>
  <si>
    <r>
      <t xml:space="preserve">Placer dem i en lukket beholder/hævekasse og sæt dem på køl i ca. </t>
    </r>
    <r>
      <rPr>
        <b/>
        <sz val="13"/>
        <color theme="1"/>
        <rFont val="Calibri"/>
        <family val="2"/>
        <scheme val="minor"/>
      </rPr>
      <t>24 timer</t>
    </r>
    <r>
      <rPr>
        <sz val="13"/>
        <color theme="1"/>
        <rFont val="Calibri"/>
        <family val="2"/>
        <scheme val="minor"/>
      </rPr>
      <t xml:space="preserve"> (2. fermentering).</t>
    </r>
  </si>
  <si>
    <t>Tilpas derfor temperaturen på vandet i hovededejen.</t>
  </si>
  <si>
    <t>Lad dejen hvile 5 min.</t>
  </si>
  <si>
    <t>Bages i en forvarmet konventionel ovn 240-260 grader i ca. 15-20 min. til de er gyldne og gennembagte.</t>
  </si>
  <si>
    <t>Iflg Per skal aktiv surdej ikke regnes med som "mel"</t>
  </si>
  <si>
    <t>Sebastians biga</t>
  </si>
  <si>
    <t>Sebastians ingredienser</t>
  </si>
  <si>
    <t>15-25°</t>
  </si>
  <si>
    <t>&lt; 15°</t>
  </si>
  <si>
    <t>&gt; 25°</t>
  </si>
  <si>
    <t>Rum temp.</t>
  </si>
  <si>
    <t>Rumtemperatur vs. gær</t>
  </si>
  <si>
    <t>hoved</t>
  </si>
  <si>
    <t>total</t>
  </si>
  <si>
    <t>Tilsæt salt og ælt yderligere 7-10 min. ved lav hastighed. Dejtemperatur maks. 20°.</t>
  </si>
  <si>
    <t>tørstof</t>
  </si>
  <si>
    <t>salt &lt;25</t>
  </si>
  <si>
    <t>salt &gt;25</t>
  </si>
  <si>
    <t>Der må ikke æltes. Blot blandes indtil al mel er absorberet og det har en trevlet konsistens.</t>
  </si>
  <si>
    <t>Tilsæt mel og vand i en beholder (gerne en hævekasse) og ryst.</t>
  </si>
  <si>
    <t>Vand i hoveddej skal være det koldeste fra hanen/køl.</t>
  </si>
  <si>
    <t>Bland evt. 50/50 med isterninger.</t>
  </si>
  <si>
    <t>Bruges anden mel, anbefales styrke W300/310.</t>
  </si>
  <si>
    <t>Den perfekte "stuetemperatur" for en biga er 18°.</t>
  </si>
  <si>
    <t>(vi bruger isvand, for at sigte efter at den færdigæltede dej har en temperatur på 18-20°)</t>
  </si>
  <si>
    <t>Hæld bigaen i din røremaskine og tilsæt vandet (evt. 50/50 isterninger) under omrøring.</t>
  </si>
  <si>
    <t>Når dejen er sammenhængende, tilsættes salt og der æltes videre.</t>
  </si>
  <si>
    <t>Når dejen er glat og fin, er den klar. Den færdigæltede dej bør ikke overstige 20 grader.</t>
  </si>
  <si>
    <t>Lad derefter bigaen stå ved stuetemperatur i 18-20 timer. Helst ved omkring 18°.</t>
  </si>
  <si>
    <t>hviletid</t>
  </si>
  <si>
    <t>Version</t>
  </si>
  <si>
    <t>g vand (kold)</t>
  </si>
  <si>
    <t>(kommer temp. markant over 20°, så sæt evt. dejen på køl intil den er nede på 18-20°)</t>
  </si>
  <si>
    <t>research og principper, men tilpasset Sebastians personlige</t>
  </si>
  <si>
    <t>preferencer mht. mel, hydrering, salt og timing.</t>
  </si>
  <si>
    <t>Baseret på den berømte italienske bager Piergiorgio Giorilli's</t>
  </si>
  <si>
    <t>1/4 tsk havsalt.</t>
  </si>
  <si>
    <t>Ofte røres den ud i koldt eller lunken vand (27°C) vand, hvorefter resten af ingredienser tilsættes.</t>
  </si>
  <si>
    <t>Men den kan også tilsættes direkte til dejen, da æltningen vil vil sørge for fordelingen. Dog kan</t>
  </si>
  <si>
    <t>det forventes, at den er langsommere til at komme i gang, end hvis den opløses først.</t>
  </si>
  <si>
    <t>SAF-Instant</t>
  </si>
  <si>
    <t>Glutenfri</t>
  </si>
  <si>
    <t>Officielt 1:3, men nogle erfarer at 1:4 virker bedre</t>
  </si>
  <si>
    <t>Fri for gluten og hvedemel. Vegansk.</t>
  </si>
  <si>
    <t>Fri for gluten og hvedemel. Vegansk</t>
  </si>
  <si>
    <t>Forslag til gærmængde (bagerprocent) i forhold til temperatur og fermenteringstid.</t>
  </si>
  <si>
    <t xml:space="preserve">Tørgær er også som udgangspunkt naturligt fri for gluten, men nogle producenter blander hvedemel eller hvedestivelse i tørgæren. </t>
  </si>
  <si>
    <t xml:space="preserve">Kom nu 10% af melet i, mens du rører med hånden, </t>
  </si>
  <si>
    <t>tilføj salt og det sidste mel, som kommes i lidt efter lidt.</t>
  </si>
  <si>
    <t xml:space="preserve">Når dejen har samlet sig, lægges den ud på bordet, </t>
  </si>
  <si>
    <t>hvor den æltes godt med hænderne i ca. 4-7 min.</t>
  </si>
  <si>
    <t>Lad dejen hvile i 24 timer ved stuetemperatur i lufttæt beholder.</t>
  </si>
  <si>
    <t>Lad dejen ligge i 10 min., hvorefter den virkes op til en kugle.</t>
  </si>
  <si>
    <t>Stram op som kugler, ved at folde oversiden ind i bunden af dejen, og kom dem i en pizza hævekasse.</t>
  </si>
  <si>
    <t>Tag dejen ud af køl 3-4 timer før brug – så tempererer den og bliver nemmere at arbejde med.</t>
  </si>
  <si>
    <t>°</t>
  </si>
  <si>
    <t>g vand (ca 15°C)</t>
  </si>
  <si>
    <t>Kom vand (ca 15°C) i en skål, og opløs herefter gæren.</t>
  </si>
  <si>
    <t>"popper" op igen.</t>
  </si>
  <si>
    <t>Dejen er færdigæltet, når du kan trykke på den og den</t>
  </si>
  <si>
    <t>10-26 timer</t>
  </si>
  <si>
    <t>Molini Pivetti Sorbole</t>
  </si>
  <si>
    <t>3-24 timer</t>
  </si>
  <si>
    <t>26-72 timer</t>
  </si>
  <si>
    <t>400</t>
  </si>
  <si>
    <t>300</t>
  </si>
  <si>
    <t>320</t>
  </si>
  <si>
    <t>270</t>
  </si>
  <si>
    <t>220</t>
  </si>
  <si>
    <t>18-48 timer</t>
  </si>
  <si>
    <t>Molini Pivetti Incanto (Biga/Poolish starter)</t>
  </si>
  <si>
    <t>Molini Pivetti Maggica (Deep Pan / Teglia)</t>
  </si>
  <si>
    <t>Molini Pivetti Nafavola 270 (Napoletana)</t>
  </si>
  <si>
    <t>Molini Pivetti Nafavola 320 (Napoletana)</t>
  </si>
  <si>
    <t>Opskrift / Fremgangsmåde</t>
  </si>
  <si>
    <t>Mel, speltsurdej/hvedesur, bageenzym og vand røres let sammen.</t>
  </si>
  <si>
    <t>sukker</t>
  </si>
  <si>
    <t>g vand (lunken)</t>
  </si>
  <si>
    <t>Caputo Cuoco / Saccorosso (rød)</t>
  </si>
  <si>
    <t>Caputo Nuvola (lilla)</t>
  </si>
  <si>
    <t>Caputo Nuvola Super (lilla)</t>
  </si>
  <si>
    <t>Caputo Pizzaria (rød)</t>
  </si>
  <si>
    <t>diastatisk malt / bageenzym</t>
  </si>
  <si>
    <t>g diastatisk malt / bageenzym</t>
  </si>
  <si>
    <t>Tosca Farina (by Valsemøllen) Pizzeria Grano Tenero.</t>
  </si>
  <si>
    <t>280/290</t>
  </si>
  <si>
    <r>
      <t>Anbefalinger</t>
    </r>
    <r>
      <rPr>
        <i/>
        <sz val="11"/>
        <color theme="1"/>
        <rFont val="Calibri"/>
        <family val="2"/>
        <scheme val="minor"/>
      </rPr>
      <t xml:space="preserve"> (bl.a fra producentens side)</t>
    </r>
  </si>
  <si>
    <t xml:space="preserve">Kom hævekassen på køl i 24-48 timer. </t>
  </si>
  <si>
    <t>* eller lad dem hæve 4-6 timer ved stuetemperatur, hvorefter der klar til brug (skip derved pkt. 9).</t>
  </si>
  <si>
    <t>Vil du bruge dejen på dag 2, så se * pkt. 8</t>
  </si>
  <si>
    <t>Omregner</t>
  </si>
  <si>
    <t>IDY</t>
  </si>
  <si>
    <t>FY</t>
  </si>
  <si>
    <t>ADY</t>
  </si>
  <si>
    <t>Aktiv tørgær består af større granulater end almindelig tørgær og skal altid genaktiveres i lunken vand</t>
  </si>
  <si>
    <t>(35-37°C) i 5-15 min. inden du tilføjer det din opskrift.</t>
  </si>
  <si>
    <t>Aktiv tørgær bruges i amerikanske opskrifter.</t>
  </si>
  <si>
    <r>
      <t>FY</t>
    </r>
    <r>
      <rPr>
        <sz val="12"/>
        <rFont val="Calibri"/>
        <family val="2"/>
        <scheme val="minor"/>
      </rPr>
      <t xml:space="preserve"> (1:3)</t>
    </r>
  </si>
  <si>
    <r>
      <t>IDY</t>
    </r>
    <r>
      <rPr>
        <sz val="12"/>
        <rFont val="Calibri"/>
        <family val="2"/>
        <scheme val="minor"/>
      </rPr>
      <t xml:space="preserve"> (3:1)</t>
    </r>
  </si>
  <si>
    <t xml:space="preserve">Forskellige meltyper vil give forskellige resultater, baseret på niveauet af protein. Men at bruge den rigtige type mel i kombination med hæve-teknik og den perfekte balance mellem ingredienser er nøglen til at skabe din helt egen skræddersyede skorpe. </t>
  </si>
  <si>
    <t>Ideel hvis du  vil lave en napolitansk pizza.</t>
  </si>
  <si>
    <r>
      <rPr>
        <b/>
        <u/>
        <sz val="11"/>
        <color theme="1"/>
        <rFont val="Calibri"/>
        <family val="2"/>
        <scheme val="minor"/>
      </rPr>
      <t>Anbefaling:</t>
    </r>
    <r>
      <rPr>
        <sz val="11"/>
        <color theme="1"/>
        <rFont val="Calibri"/>
        <family val="2"/>
        <scheme val="minor"/>
      </rPr>
      <t xml:space="preserve">  Hvedemel - 13-14,5% protein. </t>
    </r>
  </si>
  <si>
    <t>F.eks. Caputo Manitoba eller Caputo Americana.</t>
  </si>
  <si>
    <t>Perfect Pizza at Home New York Style</t>
  </si>
  <si>
    <t xml:space="preserve">  Credit Perfect Pizza at Home</t>
  </si>
  <si>
    <t>PPAH ingredienser</t>
  </si>
  <si>
    <t>Bland de tøre ingredienser. Rør dem sammen.</t>
  </si>
  <si>
    <t>begynder at se glat og fin ud.</t>
  </si>
  <si>
    <t xml:space="preserve">Giv bollerne et tyndt lag olie og placer dem i lufttætbeholder og </t>
  </si>
  <si>
    <t>g  vegetabilsk olie</t>
  </si>
  <si>
    <t>Sauce</t>
  </si>
  <si>
    <t>tørret basilkum</t>
  </si>
  <si>
    <t>chiliflager</t>
  </si>
  <si>
    <t>I denne video/opskrift benyttes dog mel med 11,7% protein.</t>
  </si>
  <si>
    <r>
      <t>Lad dejen hvile i lufttæt beholder i</t>
    </r>
    <r>
      <rPr>
        <b/>
        <sz val="12"/>
        <color theme="1"/>
        <rFont val="Calibri"/>
        <family val="2"/>
        <scheme val="minor"/>
      </rPr>
      <t xml:space="preserve"> 2-6 timer</t>
    </r>
    <r>
      <rPr>
        <sz val="12"/>
        <color theme="1"/>
        <rFont val="Calibri"/>
        <family val="2"/>
        <scheme val="minor"/>
      </rPr>
      <t xml:space="preserve"> ved stuetemperatur.</t>
    </r>
  </si>
  <si>
    <r>
      <t xml:space="preserve">sæt dem på køl i ca. </t>
    </r>
    <r>
      <rPr>
        <b/>
        <sz val="12"/>
        <color theme="1"/>
        <rFont val="Calibri"/>
        <family val="2"/>
        <scheme val="minor"/>
      </rPr>
      <t>72 timer</t>
    </r>
    <r>
      <rPr>
        <sz val="12"/>
        <color theme="1"/>
        <rFont val="Calibri"/>
        <family val="2"/>
        <scheme val="minor"/>
      </rPr>
      <t>.</t>
    </r>
  </si>
  <si>
    <t>Kombiner ingredienserne og lad det trække lidt. Tilføj lidt sukker hvis den smager bitter.</t>
  </si>
  <si>
    <t>Saucen bør være stuetemperatur når den påføres pizzaen.</t>
  </si>
  <si>
    <t>Normalt anbefales mel med 13-14,5% protein til NY style.</t>
  </si>
  <si>
    <t>tørret oregano</t>
  </si>
  <si>
    <t>fed hvidløg, hakkede</t>
  </si>
  <si>
    <t>sukker efter behov…</t>
  </si>
  <si>
    <t>-</t>
  </si>
  <si>
    <t>Tilføj vand for at give den en tyndere konsistens, hvis der er brug for det.</t>
  </si>
  <si>
    <t>tiga</t>
  </si>
  <si>
    <t>Forslag til afbagning:</t>
  </si>
  <si>
    <t>- Alm. ovn: 300° - ca. 8-10 min.</t>
  </si>
  <si>
    <t>Gær fordeling (bagers procent)</t>
  </si>
  <si>
    <t>Rør gæren ud i en separat skål med varmt vand i 30 sek. indtil der viser sig lidt skum.</t>
  </si>
  <si>
    <t>g mel</t>
  </si>
  <si>
    <t>Tag bollerne ud og hvile 2-3 timer ved stuetemperatur inden brug.</t>
  </si>
  <si>
    <t>Lad dejen hvile tildækket ved stuetemperatur i 20 min.</t>
  </si>
  <si>
    <t>Tilføj olie og ælt på laveste hastighed i 1-2 minutter, indtil olien er aborberet.</t>
  </si>
  <si>
    <t>Før dejen over på et bord (uden mel) og ælt  indtil den virker glat.</t>
  </si>
  <si>
    <t>(denne del kan også klares i røremaskinen)</t>
  </si>
  <si>
    <t>eller…</t>
  </si>
  <si>
    <t>Perfect Pizza at Home</t>
  </si>
  <si>
    <r>
      <t xml:space="preserve">Hoveddejen må helst ikke overstige </t>
    </r>
    <r>
      <rPr>
        <b/>
        <sz val="11"/>
        <color theme="1"/>
        <rFont val="Calibri"/>
        <family val="2"/>
        <scheme val="minor"/>
      </rPr>
      <t>20°</t>
    </r>
    <r>
      <rPr>
        <sz val="11"/>
        <color theme="1"/>
        <rFont val="Calibri"/>
        <family val="2"/>
        <scheme val="minor"/>
      </rPr>
      <t>.</t>
    </r>
  </si>
  <si>
    <t>En ægte New York style pizza er kendt for sin enkelte topping-</t>
  </si>
  <si>
    <t>kombination af tomatsauce og ost, selvom der også kan være</t>
  </si>
  <si>
    <t>plads til toppings som pepperoni eller champignon.</t>
  </si>
  <si>
    <t>Men prøv dig endelig frem :)</t>
  </si>
  <si>
    <t>Ælt dejen ved lav hastighed i ca. 15 min. eller indtil dejen</t>
  </si>
  <si>
    <t>Tilsæt halvdelen af melen og rør det ud, til der ikke er flere klumper.</t>
  </si>
  <si>
    <t>Nogle gange får man bare lyst til pizza.</t>
  </si>
  <si>
    <t>Denne dej kan betegnes som Neapolitan-American style,</t>
  </si>
  <si>
    <t>da den kombinerer elementer fra både den traditionelle</t>
  </si>
  <si>
    <t>napolitanske stil og den mere robuste New York-stil.</t>
  </si>
  <si>
    <r>
      <rPr>
        <b/>
        <u/>
        <sz val="11"/>
        <color theme="0"/>
        <rFont val="Calibri"/>
        <family val="2"/>
        <scheme val="minor"/>
      </rPr>
      <t>Sukker:</t>
    </r>
    <r>
      <rPr>
        <sz val="11"/>
        <color theme="0"/>
        <rFont val="Calibri"/>
        <family val="2"/>
        <scheme val="minor"/>
      </rPr>
      <t xml:space="preserve"> Tilføjer sødme og hjælper med at fremme gæringen.</t>
    </r>
  </si>
  <si>
    <r>
      <rPr>
        <b/>
        <u/>
        <sz val="11"/>
        <color theme="0"/>
        <rFont val="Calibri"/>
        <family val="2"/>
        <scheme val="minor"/>
      </rPr>
      <t>Salt:</t>
    </r>
    <r>
      <rPr>
        <sz val="11"/>
        <color theme="0"/>
        <rFont val="Calibri"/>
        <family val="2"/>
        <scheme val="minor"/>
      </rPr>
      <t xml:space="preserve"> Regulerer gæringsprocessen og bidrager til smagen.</t>
    </r>
  </si>
  <si>
    <r>
      <rPr>
        <b/>
        <u/>
        <sz val="11"/>
        <color theme="0"/>
        <rFont val="Calibri"/>
        <family val="2"/>
        <scheme val="minor"/>
      </rPr>
      <t>Olivenolie</t>
    </r>
    <r>
      <rPr>
        <u/>
        <sz val="11"/>
        <color theme="0"/>
        <rFont val="Calibri"/>
        <family val="2"/>
        <scheme val="minor"/>
      </rPr>
      <t>:</t>
    </r>
    <r>
      <rPr>
        <sz val="11"/>
        <color theme="0"/>
        <rFont val="Calibri"/>
        <family val="2"/>
        <scheme val="minor"/>
      </rPr>
      <t xml:space="preserve"> Kan bidrage til en mere elastisk og smidig</t>
    </r>
  </si>
  <si>
    <t>konsistens. Karakteristisk for New York-style pizza.</t>
  </si>
  <si>
    <t>pizza og bidrager til en let og luftig dej.</t>
  </si>
  <si>
    <r>
      <rPr>
        <b/>
        <u/>
        <sz val="12"/>
        <color theme="0"/>
        <rFont val="Calibri"/>
        <family val="2"/>
        <scheme val="minor"/>
      </rPr>
      <t>Hvedemel tipo 00:</t>
    </r>
    <r>
      <rPr>
        <sz val="12"/>
        <color theme="0"/>
        <rFont val="Calibri"/>
        <family val="2"/>
        <scheme val="minor"/>
      </rPr>
      <t xml:space="preserve"> Benyttes ofte i traditionel napolitansk</t>
    </r>
  </si>
  <si>
    <t>Neapolitan-American style</t>
  </si>
  <si>
    <t xml:space="preserve">Afbagning ved samme temperatur som du vil </t>
  </si>
  <si>
    <t>Tilsæt durum-mel</t>
  </si>
  <si>
    <t>g kold vand</t>
  </si>
  <si>
    <r>
      <t xml:space="preserve">Gorms grunddej </t>
    </r>
    <r>
      <rPr>
        <sz val="12"/>
        <color theme="0" tint="-0.34998626667073579"/>
        <rFont val="Calibri"/>
        <family val="2"/>
        <scheme val="minor"/>
      </rPr>
      <t>(2 personer)</t>
    </r>
  </si>
  <si>
    <t>Alm. ovn skal være så varm som muligt på over/undervarme.</t>
  </si>
  <si>
    <t>Ikke varmluft - det udtørrer skorperne.</t>
  </si>
  <si>
    <t>60 g.</t>
  </si>
  <si>
    <t>usaltede pistacienødder</t>
  </si>
  <si>
    <t>35 g.</t>
  </si>
  <si>
    <t>pinjekerner (gerne lynristet på en tør pande)</t>
  </si>
  <si>
    <t>stor håndfuld frisk basilikum</t>
  </si>
  <si>
    <t>70 g</t>
  </si>
  <si>
    <t>1 dl.</t>
  </si>
  <si>
    <t>1 fed</t>
  </si>
  <si>
    <t>hvidløg</t>
  </si>
  <si>
    <t>parmesan</t>
  </si>
  <si>
    <t>knivspids salt</t>
  </si>
  <si>
    <t>Sebastians Pistacie-Pesto</t>
  </si>
  <si>
    <t>Kom det hele i en blender og blend indtil det har</t>
  </si>
  <si>
    <t>den ønskede konsistens.</t>
  </si>
  <si>
    <t>Brug den f.eks. på en pizza med:</t>
  </si>
  <si>
    <t>Fior di latte, mortadella, straciatella.</t>
  </si>
  <si>
    <t>Top den af med knuste pistacie-nødder.</t>
  </si>
  <si>
    <t>Antal pizza</t>
  </si>
  <si>
    <t xml:space="preserve">hvede-mel tipo 00 </t>
  </si>
  <si>
    <t>durum-mel</t>
  </si>
  <si>
    <r>
      <rPr>
        <b/>
        <u/>
        <sz val="12"/>
        <color theme="0"/>
        <rFont val="Calibri"/>
        <family val="2"/>
        <scheme val="minor"/>
      </rPr>
      <t>Durum-mel:</t>
    </r>
    <r>
      <rPr>
        <b/>
        <sz val="12"/>
        <color theme="0"/>
        <rFont val="Calibri"/>
        <family val="2"/>
        <scheme val="minor"/>
      </rPr>
      <t xml:space="preserve"> </t>
    </r>
    <r>
      <rPr>
        <sz val="12"/>
        <color theme="0"/>
        <rFont val="Calibri"/>
        <family val="2"/>
        <scheme val="minor"/>
      </rPr>
      <t>Tilføjer ekstra struktur og bid til dejen.</t>
    </r>
  </si>
  <si>
    <t>Rørsukker</t>
  </si>
  <si>
    <t>hydrering</t>
  </si>
  <si>
    <t>g groft durum/semola-mel</t>
  </si>
  <si>
    <t>Emmermel adskiller sig fra almindeligt hvedemel med sin nøddeagtige</t>
  </si>
  <si>
    <t>smag og grovere konsistens. Det er rigt på protein, fibre og andre</t>
  </si>
  <si>
    <t>næringsstoffer og er derfor et sundere alternativ til almindelig hvedemel.</t>
  </si>
  <si>
    <t>Bagerkokkens Detroit style pizza</t>
  </si>
  <si>
    <t>(f.eks. Caputo Cuoco/Saccorosso eller Tosca Farina Pizzamel)</t>
  </si>
  <si>
    <t>Der anbefales en mel med protein-indhold 12,5-14,5%</t>
  </si>
  <si>
    <t>o</t>
  </si>
  <si>
    <t>þ</t>
  </si>
  <si>
    <t>Temperer dem 1 time før brug.</t>
  </si>
  <si>
    <r>
      <t xml:space="preserve">Ost fordeles </t>
    </r>
    <r>
      <rPr>
        <b/>
        <sz val="12"/>
        <color theme="1"/>
        <rFont val="Calibri"/>
        <family val="2"/>
        <scheme val="minor"/>
      </rPr>
      <t>generøst</t>
    </r>
    <r>
      <rPr>
        <sz val="12"/>
        <color theme="1"/>
        <rFont val="Calibri"/>
        <family val="2"/>
        <scheme val="minor"/>
      </rPr>
      <t>, hvorefter 3 striber tomatsauce og pepperoni.</t>
    </r>
  </si>
  <si>
    <t>Pizzaen er færdig, når osten ved kanterne er sydende og mørk</t>
  </si>
  <si>
    <t>Brug en tynd spatel til forsigtigt at vippe kanterne væk fra siderne.</t>
  </si>
  <si>
    <t>samt toppen er let brunet.</t>
  </si>
  <si>
    <t>Tilberedningstid 5-6 timer</t>
  </si>
  <si>
    <t>Tryk nu dejen ud - dog ikkke helt ud til kanten.</t>
  </si>
  <si>
    <t>Tilberedningstid 2-3 dage</t>
  </si>
  <si>
    <t>Bagerkokkens biga v2</t>
  </si>
  <si>
    <t>Bagerkokkens biga v1</t>
  </si>
  <si>
    <t>Bagerkokkens pizza med bageenzym</t>
  </si>
  <si>
    <t>Bagerkokkens surdejspizza</t>
  </si>
  <si>
    <t>Tilberedningstid 1-2 dage</t>
  </si>
  <si>
    <t>Bagerkokkens poolish pizza</t>
  </si>
  <si>
    <t>Tilberedningstid 2 dage</t>
  </si>
  <si>
    <t>Bagerkokkens Pizza Napoli</t>
  </si>
  <si>
    <t>Bagerkokkens håndæltede</t>
  </si>
  <si>
    <t>Tilberedningstid 1-3 dage</t>
  </si>
  <si>
    <t>Tilberedningstid 4 dage</t>
  </si>
  <si>
    <t>Tilberedningstid 1 dag</t>
  </si>
  <si>
    <t>Tilberedningstid  21-29 timer</t>
  </si>
  <si>
    <t>Tilberedningstid 37-53 timer</t>
  </si>
  <si>
    <t>Tilberedningstid 26-34 timer</t>
  </si>
  <si>
    <t>Tilberedningstid ned til 2 timer</t>
  </si>
  <si>
    <t>Kl.</t>
  </si>
  <si>
    <t>Hviletid pkt. 9</t>
  </si>
  <si>
    <t>Hviletid pkt. 6</t>
  </si>
  <si>
    <t>Hviletid pkt. 13 (24-48 t.)</t>
  </si>
  <si>
    <t>Hviletid pkt. 2 (20-24 t.)</t>
  </si>
  <si>
    <t>Hviletid pkt. 5</t>
  </si>
  <si>
    <t>Hviletid pkt. 10 (24-48 t.)</t>
  </si>
  <si>
    <t>Spisetid</t>
  </si>
  <si>
    <t>Hviletid pkt. 5+7+8</t>
  </si>
  <si>
    <t>Temperering pkt. 14 (3-4 t.)</t>
  </si>
  <si>
    <t>Hviletid pkt. 3</t>
  </si>
  <si>
    <t>Hviletid pkt. 4 (20-24 t.)</t>
  </si>
  <si>
    <t>Temperering pkt. 15</t>
  </si>
  <si>
    <t>Samlet tid</t>
  </si>
  <si>
    <t>Hviletid pkt. 2 (20-25 min.)</t>
  </si>
  <si>
    <r>
      <t>Tidsplan for tilberedning</t>
    </r>
    <r>
      <rPr>
        <sz val="17"/>
        <color theme="0"/>
        <rFont val="Calibri"/>
        <family val="2"/>
        <scheme val="minor"/>
      </rPr>
      <t xml:space="preserve"> (valgfrit)</t>
    </r>
  </si>
  <si>
    <t>Hviletid pkt. 7 (4-6 t.)</t>
  </si>
  <si>
    <t>Hviletid pkt. 9 (24-48 t.)</t>
  </si>
  <si>
    <t>Temperering pkt. 10 (4-6 t.)</t>
  </si>
  <si>
    <t>Hviletid pkt. 3 (30 min.)</t>
  </si>
  <si>
    <t>Hviletid pkt. 2+5+7</t>
  </si>
  <si>
    <t>Start</t>
  </si>
  <si>
    <t>* Placer dem evt. overdækket på køl</t>
  </si>
  <si>
    <t>køl indtil dagen efter for mere smag.</t>
  </si>
  <si>
    <t>Hviletid pkt. 11 (1-2t)</t>
  </si>
  <si>
    <t>Hviletid pkt. 10 *</t>
  </si>
  <si>
    <t>Hviletid pkt. 4 (30 min.)</t>
  </si>
  <si>
    <t>Hviletid pkt. 5 (16 t.)</t>
  </si>
  <si>
    <t>Hviletid pkt. 7 (8t.)</t>
  </si>
  <si>
    <t>Dag 1 - Tilberedning</t>
  </si>
  <si>
    <t>Dag 2 - Tilberedning</t>
  </si>
  <si>
    <t>Hviletid pkt. 3 (18-20 t.)</t>
  </si>
  <si>
    <t>Hviletid pkt. 3 (15-30 min.)</t>
  </si>
  <si>
    <t>Hviletid pkt. 5 (2-6 t.)</t>
  </si>
  <si>
    <t>Hviletid pkt. 7 (72 t.)</t>
  </si>
  <si>
    <t>Hviletid pkt. 8 (2-6t.)</t>
  </si>
  <si>
    <r>
      <t>Tag bollerne af køl og lade dem hvile ved stuetemperatur</t>
    </r>
    <r>
      <rPr>
        <b/>
        <sz val="12"/>
        <color theme="1"/>
        <rFont val="Calibri"/>
        <family val="2"/>
        <scheme val="minor"/>
      </rPr>
      <t xml:space="preserve"> 2-6 timer </t>
    </r>
    <r>
      <rPr>
        <sz val="12"/>
        <color theme="1"/>
        <rFont val="Calibri"/>
        <family val="2"/>
        <scheme val="minor"/>
      </rPr>
      <t>før brug.</t>
    </r>
  </si>
  <si>
    <t>Temperering pkt. 11 (0t.)</t>
  </si>
  <si>
    <t>Hviletid pkt. 2 (30 min.)</t>
  </si>
  <si>
    <t>Hviletid pkt. 5 (10 m.)</t>
  </si>
  <si>
    <t>Hviletid pkt. 9 (20-48 t.)</t>
  </si>
  <si>
    <t>Vand i hoveddejen skal være det koldeste fra vandhanen/køl.</t>
  </si>
  <si>
    <t>Hoveddejen må helst ikke overstige 20° C.</t>
  </si>
  <si>
    <t>- målt biga-temperatur</t>
  </si>
  <si>
    <t>Rød Finax</t>
  </si>
  <si>
    <t>g olie</t>
  </si>
  <si>
    <t xml:space="preserve">Tilføj nu alt i vandet( ca 15-20 grader), sammen med olie og  salten. </t>
  </si>
  <si>
    <t>Dejen er ret lind, så sørg for at blande det godt sammen i 2-3 min</t>
  </si>
  <si>
    <t>Lad dejen stå i 1½-2 timer ved stuetemperatur i en lufttæt</t>
  </si>
  <si>
    <t>beholder. Dejen sætter sig og  bliver nemmere at arbejde med.</t>
  </si>
  <si>
    <t xml:space="preserve">Stram op som kugler - her kan det godt blive lidt klistret, da dejen er blød. </t>
  </si>
  <si>
    <t xml:space="preserve">Form dem så godt du kan og kom dem i en hævekasse. </t>
  </si>
  <si>
    <t>Selvom dejen er blød i denne process, bliver den mere fast efter den har været på køl.</t>
  </si>
  <si>
    <t>(dejen kan evt. også tages ud ca. 1 time før brug).</t>
  </si>
  <si>
    <t>Rød Finax melblanding er en glutenfri melblandinger af dem der</t>
  </si>
  <si>
    <t>er nemmest at bage med. Opfører sig mest som normal hvedemel.</t>
  </si>
  <si>
    <t>Finax Glutenfrit melmix, RØD</t>
  </si>
  <si>
    <t>Grundet det lave protein-indhold i en glutenfri mel (blanding), skal du</t>
  </si>
  <si>
    <t>fokusere på de andre ingredienser og teknikker, der kan hjælpe med</t>
  </si>
  <si>
    <t>at skabe en god tekstur.</t>
  </si>
  <si>
    <t>Den færdige dej-temperatur må ikke overstige 27°.</t>
  </si>
  <si>
    <t>Tørgæren vendes i den glutenfrie mel (stuetempereret mel).</t>
  </si>
  <si>
    <t>Sæt dem på køl i ca. 18-22 timer.</t>
  </si>
  <si>
    <t>g Rød Finax (melmix)</t>
  </si>
  <si>
    <t>Bagerkokkens glutenfri pizza (håndæltet)</t>
  </si>
  <si>
    <t>Tag dejen ud og form til pizza direkte fra køl i f.eks. rismel.</t>
  </si>
  <si>
    <t>Hviletid pkt. 6 (18-22 t.)</t>
  </si>
  <si>
    <t>Hviletid pkt. 3 (1½-2 t.)</t>
  </si>
  <si>
    <t>Temperering pkt. 7 (0-1 t.)</t>
  </si>
  <si>
    <t>Hviletid pkt. 14 (24 t.)</t>
  </si>
  <si>
    <t>Der kan naturligvis også bruges en anden glutenfri melblanding.</t>
  </si>
  <si>
    <t>Hviletid pkt. 9 (1t.)</t>
  </si>
  <si>
    <t>Hviletid pkt. 10 (30 min.)</t>
  </si>
  <si>
    <t>Hviletid pkt. 13 (3-4t.)</t>
  </si>
  <si>
    <t>Hviletid pkt. 11</t>
  </si>
  <si>
    <t>Lad dejen hæve yderligere 30 min. ved stuetemperatur.</t>
  </si>
  <si>
    <t>Placer deje i køleskabet indtil næste dag.</t>
  </si>
  <si>
    <t>hvile i ca. 15 min.</t>
  </si>
  <si>
    <t>Stram bollerne op igen. Placer dem i en lukket beholder og lad dem hæve ved stueremperatur</t>
  </si>
  <si>
    <t>til ca. dobbelt størrelse i 3-4 timer.</t>
  </si>
  <si>
    <t>Hviletid pkt. 12 (15 min.)</t>
  </si>
  <si>
    <t>I stedet for at lade dem hæve ved stuetemperatur (pkt. 13), så sæt bollerne i køleskabet,</t>
  </si>
  <si>
    <t>Tag bollerne ud 2-3 timer før brug.</t>
  </si>
  <si>
    <t>Tip</t>
  </si>
  <si>
    <t>For bedre smag</t>
  </si>
  <si>
    <t>i en lukket beholder, indtil dagen efter (dag 3). Det vil forbedre smagen i dejen.</t>
  </si>
  <si>
    <t>Hviletid pkt. 3 (18t.)</t>
  </si>
  <si>
    <r>
      <t xml:space="preserve">Lad det arbejde i en lukket beholder (låg eller film) i </t>
    </r>
    <r>
      <rPr>
        <b/>
        <sz val="12"/>
        <color theme="1"/>
        <rFont val="Calibri"/>
        <family val="2"/>
        <scheme val="minor"/>
      </rPr>
      <t>18 timer</t>
    </r>
    <r>
      <rPr>
        <sz val="12"/>
        <color theme="1"/>
        <rFont val="Calibri"/>
        <family val="2"/>
        <scheme val="minor"/>
      </rPr>
      <t xml:space="preserve"> ved stuetemperatur.</t>
    </r>
  </si>
  <si>
    <t>g tempereret vand (25°)</t>
  </si>
  <si>
    <t>g/ml kold vand</t>
  </si>
  <si>
    <t>Tony bruger altid kold vand fra hanen i sine 'starters' for at</t>
  </si>
  <si>
    <t>sænke fermenterings-hastigheden og derved øge smagen.</t>
  </si>
  <si>
    <t>g koldt vand (is-vand)</t>
  </si>
  <si>
    <t>Hviletid pkt. 15 (20 min.)</t>
  </si>
  <si>
    <t>Hviletid pkt. 17 (24-48t.)</t>
  </si>
  <si>
    <t>Temperering pkt. 18 (3-4t.)</t>
  </si>
  <si>
    <t>Hviletid pkt. 4 (max 8t.)</t>
  </si>
  <si>
    <t>Husk kogebogen…</t>
  </si>
  <si>
    <t>Fremgangsmåde</t>
  </si>
  <si>
    <t>Hviletid pkt. 2 (24-48 t.)</t>
  </si>
  <si>
    <t>Ja, det er den rette mængde gær i denne opskrift…. :-)</t>
  </si>
  <si>
    <t>Det er en simpel og hurtig metode, ofte brugt til pizza.</t>
  </si>
  <si>
    <t>En direkte dej, er en metode hvor alle ingredienserne blandes</t>
  </si>
  <si>
    <t>sammen på én gang uden forudgående trin som fordej eller</t>
  </si>
  <si>
    <t>poolish. Det er en simpel og hurtig metode, ofte brugt til pizza.</t>
  </si>
  <si>
    <t>F.eks. Caputo Manitoba, Caputo Americana,</t>
  </si>
  <si>
    <t>Caputo Cuoco eller Caputo Americana Super.</t>
  </si>
  <si>
    <t>Bland i ca. 1 min. ved lav hastighed indtil det meste af dejen samler sig omkring krogen.</t>
  </si>
  <si>
    <t>Bland gerne al melet fra starten, og så blot cirka brug halv-delen</t>
  </si>
  <si>
    <t>i step 2 og det resterende i step 3.</t>
  </si>
  <si>
    <t>Føles dejen for våd, så tilsæt evt. lidt mere mel.</t>
  </si>
  <si>
    <t>- Pizzaovn: 400° top / 350 bund</t>
  </si>
  <si>
    <t>En NY style pizza har typisk en hydrering på 60-65%.</t>
  </si>
  <si>
    <t>forskelle er brugen af en fordej, også kendt som en</t>
  </si>
  <si>
    <t>naturlig surdej eller biga. Dette tilføjer kompleksitet</t>
  </si>
  <si>
    <t>til smagen og forbedrer dejens struktur.</t>
  </si>
  <si>
    <t xml:space="preserve">Fordej hjælper også med at fremme en længere </t>
  </si>
  <si>
    <t xml:space="preserve">hævetid, hvilket resulterer i en mere udviklet smag </t>
  </si>
  <si>
    <t>og bedre tekstur.</t>
  </si>
  <si>
    <r>
      <rPr>
        <b/>
        <sz val="11"/>
        <color theme="0"/>
        <rFont val="Calibri"/>
        <family val="2"/>
        <scheme val="minor"/>
      </rPr>
      <t>Brug af fordej (starter):</t>
    </r>
    <r>
      <rPr>
        <sz val="11"/>
        <color theme="0"/>
        <rFont val="Calibri"/>
        <family val="2"/>
        <scheme val="minor"/>
      </rPr>
      <t xml:space="preserve"> En af de mest markante</t>
    </r>
  </si>
  <si>
    <r>
      <rPr>
        <b/>
        <sz val="11"/>
        <color theme="0"/>
        <rFont val="Calibri"/>
        <family val="2"/>
        <scheme val="minor"/>
      </rPr>
      <t xml:space="preserve">Lang hævetid: </t>
    </r>
    <r>
      <rPr>
        <sz val="11"/>
        <color theme="0"/>
        <rFont val="Calibri"/>
        <family val="2"/>
        <scheme val="minor"/>
      </rPr>
      <t xml:space="preserve">Opskriften kræver en længere </t>
    </r>
  </si>
  <si>
    <t xml:space="preserve">hævetid, både ved stuetemperatur og i køleskab, </t>
  </si>
  <si>
    <t xml:space="preserve">hvilket yderligere udvikler smagen og giver en bedre, </t>
  </si>
  <si>
    <t xml:space="preserve">mere sej krumme. Den lange hævetid hjælper også </t>
  </si>
  <si>
    <t xml:space="preserve">med at nedbryde gluten, hvilket gør dejen lettere at </t>
  </si>
  <si>
    <t>arbejde med og fordøje.</t>
  </si>
  <si>
    <r>
      <rPr>
        <b/>
        <sz val="11"/>
        <color theme="0"/>
        <rFont val="Calibri"/>
        <family val="2"/>
        <scheme val="minor"/>
      </rPr>
      <t xml:space="preserve">Specifikke meltyper: </t>
    </r>
    <r>
      <rPr>
        <sz val="11"/>
        <color theme="0"/>
        <rFont val="Calibri"/>
        <family val="2"/>
        <scheme val="minor"/>
      </rPr>
      <t>Gemignani bruger ofte</t>
    </r>
  </si>
  <si>
    <t xml:space="preserve">specifikke meltyper, såsom højt proteinindhold mel </t>
  </si>
  <si>
    <t xml:space="preserve">eller mel med højt glutenindhold, hvilket giver dejen </t>
  </si>
  <si>
    <t xml:space="preserve">den nødvendige styrke og struktur til at opnå en </t>
  </si>
  <si>
    <t xml:space="preserve">perfekt skorpe. Dette er vigtigt for at opnå den rigtige </t>
  </si>
  <si>
    <t>balance mellem sejhed og sprødhed.</t>
  </si>
  <si>
    <r>
      <rPr>
        <b/>
        <sz val="11"/>
        <color theme="0"/>
        <rFont val="Calibri"/>
        <family val="2"/>
        <scheme val="minor"/>
      </rPr>
      <t xml:space="preserve">Hydrering: </t>
    </r>
    <r>
      <rPr>
        <sz val="11"/>
        <color theme="0"/>
        <rFont val="Calibri"/>
        <family val="2"/>
        <scheme val="minor"/>
      </rPr>
      <t xml:space="preserve">Opskriften har en præcis hydrering, som er </t>
    </r>
  </si>
  <si>
    <t xml:space="preserve">optimeret for at skabe en dej, der er let at strække og </t>
  </si>
  <si>
    <t xml:space="preserve">forme, men som stadig holder sin struktur. Dette </t>
  </si>
  <si>
    <t>hjælper med at skabe den karakteristiske NY pizzabund.</t>
  </si>
  <si>
    <r>
      <rPr>
        <b/>
        <sz val="11"/>
        <color theme="0"/>
        <rFont val="Calibri"/>
        <family val="2"/>
        <scheme val="minor"/>
      </rPr>
      <t xml:space="preserve">Smagsudvikling: </t>
    </r>
    <r>
      <rPr>
        <sz val="11"/>
        <color theme="0"/>
        <rFont val="Calibri"/>
        <family val="2"/>
        <scheme val="minor"/>
      </rPr>
      <t xml:space="preserve">Ved at bruge en starter og lade dejen </t>
    </r>
  </si>
  <si>
    <t xml:space="preserve">hæve over en længere periode, udvikler dejen en </t>
  </si>
  <si>
    <t xml:space="preserve">dybere, mere kompleks smag, som ikke kan opnås </t>
  </si>
  <si>
    <t xml:space="preserve">med hurtige hævemetoder. Dette giver en pizza med </t>
  </si>
  <si>
    <t>en rig, nuanceret smagsprofil.</t>
  </si>
  <si>
    <t>adskiller sig den fra mere traditionelle pizzaopskrift:</t>
  </si>
  <si>
    <t>Tony Gemignani's 'Master Dough with Starter'</t>
  </si>
  <si>
    <t xml:space="preserve">Ælt dejen indtil den begynder at blive glat og smidig at røre ved. </t>
  </si>
  <si>
    <t>I hånden ca 10-15 min.</t>
  </si>
  <si>
    <t>I spiral-mixer: ca 8-10 min.</t>
  </si>
  <si>
    <t>For denne opskrift, er det vigtigt</t>
  </si>
  <si>
    <r>
      <t xml:space="preserve">at temperaturen ender på ca </t>
    </r>
    <r>
      <rPr>
        <b/>
        <sz val="11"/>
        <color theme="0"/>
        <rFont val="Calibri"/>
        <family val="2"/>
        <scheme val="minor"/>
      </rPr>
      <t>20° C.</t>
    </r>
  </si>
  <si>
    <t>og i stedet for at sætte bollerne på køl (pkt. 13), så lad dem</t>
  </si>
  <si>
    <r>
      <rPr>
        <i/>
        <u/>
        <sz val="11"/>
        <color theme="1"/>
        <rFont val="Calibri"/>
        <family val="2"/>
        <scheme val="minor"/>
      </rPr>
      <t>Tip til 24 timers dej:</t>
    </r>
    <r>
      <rPr>
        <sz val="11"/>
        <color theme="1"/>
        <rFont val="Calibri"/>
        <family val="2"/>
        <scheme val="minor"/>
      </rPr>
      <t xml:space="preserve"> Lad dejen bulkhæve i 18 timer (pkt. 9)</t>
    </r>
  </si>
  <si>
    <r>
      <t xml:space="preserve">* Lad dejen hvile i </t>
    </r>
    <r>
      <rPr>
        <b/>
        <sz val="12"/>
        <color theme="1"/>
        <rFont val="Calibri"/>
        <family val="2"/>
        <scheme val="minor"/>
      </rPr>
      <t>24 timer ved stuetemperatur</t>
    </r>
    <r>
      <rPr>
        <sz val="12"/>
        <color theme="1"/>
        <rFont val="Calibri"/>
        <family val="2"/>
        <scheme val="minor"/>
      </rPr>
      <t xml:space="preserve"> i lufttæt beholder.</t>
    </r>
  </si>
  <si>
    <t>hæve 3-6 timer ved stuetemperatur, hvorefter de er klar.</t>
  </si>
  <si>
    <r>
      <t xml:space="preserve">Lad dejen hvile overdækket </t>
    </r>
    <r>
      <rPr>
        <b/>
        <sz val="12"/>
        <color theme="1"/>
        <rFont val="Calibri"/>
        <family val="2"/>
        <scheme val="minor"/>
      </rPr>
      <t>15-30 min</t>
    </r>
    <r>
      <rPr>
        <sz val="12"/>
        <color theme="1"/>
        <rFont val="Calibri"/>
        <family val="2"/>
        <scheme val="minor"/>
      </rPr>
      <t>. (autolyse)</t>
    </r>
  </si>
  <si>
    <t>Le 5 Stagioni Pizza Napoletana (Red)</t>
  </si>
  <si>
    <t>Le 5 Stagioni Gluten free</t>
  </si>
  <si>
    <t>Caputo Fioreglut (gluten free)</t>
  </si>
  <si>
    <r>
      <t xml:space="preserve">Lad dejen hæve i </t>
    </r>
    <r>
      <rPr>
        <b/>
        <sz val="12"/>
        <rFont val="Calibri"/>
        <family val="2"/>
        <scheme val="minor"/>
      </rPr>
      <t>køleskab til dobbeltstørrelse i 1 time</t>
    </r>
    <r>
      <rPr>
        <sz val="12"/>
        <rFont val="Calibri"/>
        <family val="2"/>
        <scheme val="minor"/>
      </rPr>
      <t xml:space="preserve"> (det tager ca. en time).     </t>
    </r>
    <r>
      <rPr>
        <i/>
        <sz val="12"/>
        <rFont val="Calibri"/>
        <family val="2"/>
        <scheme val="minor"/>
      </rPr>
      <t>Alternativt: lad den ligge til  til dagen efter…</t>
    </r>
  </si>
  <si>
    <t>V1 er god om sommeren, da den koldhæver.</t>
  </si>
  <si>
    <t>din gær/vand-blanding (pkt 6).</t>
  </si>
  <si>
    <t>Amazon.de</t>
  </si>
  <si>
    <t>Diatistisk malt og bageenzym er generelt det samme eller meget</t>
  </si>
  <si>
    <t xml:space="preserve">Diatistisk malt kan du bl.a. findes på </t>
  </si>
  <si>
    <t>PizzaPal's New York Style</t>
  </si>
  <si>
    <t>Reciepe cortesy of PizzaPal.dk</t>
  </si>
  <si>
    <t>PizzaPal's ingredienser</t>
  </si>
  <si>
    <t>Hæld vandet i en skål.</t>
  </si>
  <si>
    <t>Tilføj gær og rør til opløst.</t>
  </si>
  <si>
    <t>Tilføj sukker og rør til opløst.</t>
  </si>
  <si>
    <t>Tilføj halvdelen af mel og rør.</t>
  </si>
  <si>
    <t>Tilføj salt og rør.</t>
  </si>
  <si>
    <t>Hvil dejen i 1 time ved stuetemperatur i en lukket beholder.</t>
  </si>
  <si>
    <t>F.eks. Caputo Manitoba Oro eller Caputo Americana.</t>
  </si>
  <si>
    <t xml:space="preserve">Tag dejen ud fra køl 2 timer før du skal bruge den. </t>
  </si>
  <si>
    <t>Olie tilsættes dejen som det sidste for at bevare fugtigheden efter bagning og</t>
  </si>
  <si>
    <t>påvirker, ligesom vand, dejens konsistens, men tilføres først efter melet har</t>
  </si>
  <si>
    <t>absorberet vandet for at optimere glutenudviklingen.</t>
  </si>
  <si>
    <r>
      <rPr>
        <u/>
        <sz val="11"/>
        <color theme="1"/>
        <rFont val="Calibri"/>
        <family val="2"/>
        <scheme val="minor"/>
      </rPr>
      <t>Anbefaling:</t>
    </r>
    <r>
      <rPr>
        <sz val="11"/>
        <color theme="1"/>
        <rFont val="Calibri"/>
        <family val="2"/>
        <scheme val="minor"/>
      </rPr>
      <t xml:space="preserve">  Hvedemel - 13-14,5% protein (Manitoba).</t>
    </r>
  </si>
  <si>
    <t>løgpulver</t>
  </si>
  <si>
    <t>Kombiner ingredienserne og blend dem i ca ½ minut.</t>
  </si>
  <si>
    <t xml:space="preserve">Lad gerne sovsen stå på køl i et døgn før brug. </t>
  </si>
  <si>
    <t>Tilføj olie og ælt dejen yderligere indtil olien er integreret i dejen.</t>
  </si>
  <si>
    <t>Tilføj det sidste mel og ælt indtil alt melet er integreret i dejen.</t>
  </si>
  <si>
    <t>- Pizzaovn: 350° top / 300° bund (lad ovnen varme op i 30-40 min og bag i ca. 5 min.)</t>
  </si>
  <si>
    <t>- Alm. ovn: 300° (Lad bagestålet varme op i ovnen i ca. 30 min.)</t>
  </si>
  <si>
    <t>PizzaPal's New-York Pizzasauce</t>
  </si>
  <si>
    <t>Hviletid pkt. 8 (2t.)</t>
  </si>
  <si>
    <t xml:space="preserve">lignende. </t>
  </si>
  <si>
    <t>Hviletid pkt. 9 (~48 t.)</t>
  </si>
  <si>
    <t>rørsukker</t>
  </si>
  <si>
    <t>Gær     |     Bagerprocent</t>
  </si>
  <si>
    <r>
      <rPr>
        <b/>
        <i/>
        <sz val="12"/>
        <color theme="0"/>
        <rFont val="Calibri"/>
        <family val="2"/>
        <scheme val="minor"/>
      </rPr>
      <t>- Poolish</t>
    </r>
    <r>
      <rPr>
        <i/>
        <sz val="12"/>
        <color theme="0"/>
        <rFont val="Calibri"/>
        <family val="2"/>
        <scheme val="minor"/>
      </rPr>
      <t xml:space="preserve">                                   (20-28 timer)
</t>
    </r>
    <r>
      <rPr>
        <b/>
        <i/>
        <sz val="12"/>
        <color theme="0"/>
        <rFont val="Calibri"/>
        <family val="2"/>
        <scheme val="minor"/>
      </rPr>
      <t>- Poolish + autolysis</t>
    </r>
    <r>
      <rPr>
        <i/>
        <sz val="12"/>
        <color theme="0"/>
        <rFont val="Calibri"/>
        <family val="2"/>
        <scheme val="minor"/>
      </rPr>
      <t xml:space="preserve">                 (26-34 timer)
</t>
    </r>
    <r>
      <rPr>
        <b/>
        <i/>
        <sz val="12"/>
        <color theme="0"/>
        <rFont val="Calibri"/>
        <family val="2"/>
        <scheme val="minor"/>
      </rPr>
      <t>- Poolish double fermented</t>
    </r>
    <r>
      <rPr>
        <i/>
        <sz val="12"/>
        <color theme="0"/>
        <rFont val="Calibri"/>
        <family val="2"/>
        <scheme val="minor"/>
      </rPr>
      <t xml:space="preserve">     (37-53 timer)</t>
    </r>
  </si>
  <si>
    <t>Sukkeren bidrager til en gylden skorpe, giver næring til gæren</t>
  </si>
  <si>
    <t>og påvirker kun smagen en anelse.</t>
  </si>
  <si>
    <t>24-75 timer</t>
  </si>
  <si>
    <t>360/380</t>
  </si>
  <si>
    <t>Caputo '00' Americana</t>
  </si>
  <si>
    <t>Genopvarmning af pizza</t>
  </si>
  <si>
    <t>Tid:</t>
  </si>
  <si>
    <t>4-7 minutter</t>
  </si>
  <si>
    <t>Metode:</t>
  </si>
  <si>
    <t>Stegepande</t>
  </si>
  <si>
    <t>Smid et slice på en stegepande ved middelvarme.</t>
  </si>
  <si>
    <t>Når skorpen begyder at blive sprød og du ser osten er ved at smelte,</t>
  </si>
  <si>
    <t>♦</t>
  </si>
  <si>
    <t>Skru ned til lav varme og læg låg på panden i et minut, indtil osten er smeltet af dampen.</t>
  </si>
  <si>
    <t>Bedømmelse:</t>
  </si>
  <si>
    <t>9/10</t>
  </si>
  <si>
    <t>tilføjer du lidt vand (i modsatte side af pizzaen).</t>
  </si>
  <si>
    <t>35 minutter</t>
  </si>
  <si>
    <t>8/10</t>
  </si>
  <si>
    <t xml:space="preserve">Placer slicerne i en bageplade med kant og tildæk med med </t>
  </si>
  <si>
    <t>sølvpapir.</t>
  </si>
  <si>
    <t>Sæt bagepladen ind i en uvarmet ovn og tænd ved ca. 160  grader.</t>
  </si>
  <si>
    <t xml:space="preserve">Den gradvise varmeforøgelse giver skorpen "rigelig tid til at frigive </t>
  </si>
  <si>
    <t>fugt og blødgøre", mens foliedækket forhindrer den i at tørre ud.</t>
  </si>
  <si>
    <t>(gerne undervarme) Placeres på nederste rille.</t>
  </si>
  <si>
    <t>Reference: the kitchn</t>
  </si>
  <si>
    <t>Ovn</t>
  </si>
  <si>
    <t>Vito</t>
  </si>
  <si>
    <t>(0,5 teske)</t>
  </si>
  <si>
    <t>sammen på én gang uden forudgående trin som fordej eller poolish.</t>
  </si>
  <si>
    <t>Med den høje hydrering, bør den bages Napoletansk.</t>
  </si>
  <si>
    <t>Dvs. i en ekstremt varm ovn (sten eller stålplade), og med kort bagetid.</t>
  </si>
  <si>
    <t>V2 er god når der ikke er alt for varmt i lokalet.</t>
  </si>
  <si>
    <t>Så kan den fermentere ved stuetemperatur.</t>
  </si>
  <si>
    <r>
      <rPr>
        <b/>
        <sz val="9"/>
        <color theme="0"/>
        <rFont val="Calibri"/>
        <family val="2"/>
        <scheme val="minor"/>
      </rPr>
      <t>C</t>
    </r>
    <r>
      <rPr>
        <sz val="9"/>
        <color theme="0"/>
        <rFont val="Calibri"/>
        <family val="2"/>
        <scheme val="minor"/>
      </rPr>
      <t>opyright 2025 © Torben Holm Kristensen</t>
    </r>
  </si>
  <si>
    <r>
      <t xml:space="preserve">normalt vil benytte for </t>
    </r>
    <r>
      <rPr>
        <b/>
        <sz val="11"/>
        <rFont val="Calibri"/>
        <family val="2"/>
        <scheme val="minor"/>
      </rPr>
      <t>neapolitansk</t>
    </r>
    <r>
      <rPr>
        <sz val="11"/>
        <rFont val="Calibri"/>
        <family val="2"/>
        <scheme val="minor"/>
      </rPr>
      <t xml:space="preserve"> pizza. Dvs. høj temperatur.</t>
    </r>
  </si>
  <si>
    <r>
      <t xml:space="preserve">Med den høje hydrering, bør den </t>
    </r>
    <r>
      <rPr>
        <b/>
        <sz val="11"/>
        <rFont val="Calibri"/>
        <family val="2"/>
        <scheme val="minor"/>
      </rPr>
      <t>bages Napoletansk</t>
    </r>
    <r>
      <rPr>
        <sz val="11"/>
        <rFont val="Calibri"/>
        <family val="2"/>
        <scheme val="minor"/>
      </rPr>
      <t>.</t>
    </r>
  </si>
  <si>
    <t>Søndag</t>
  </si>
  <si>
    <t>Dag</t>
  </si>
  <si>
    <t>Fredag</t>
  </si>
  <si>
    <t>Pizza type</t>
  </si>
  <si>
    <t>Pizza diameter</t>
  </si>
  <si>
    <t>Antal pizze</t>
  </si>
  <si>
    <t>Ost</t>
  </si>
  <si>
    <t>1 pizza</t>
  </si>
  <si>
    <t>Round Pizza (Non-Neapolitan)</t>
  </si>
  <si>
    <t>Neapolitan</t>
  </si>
  <si>
    <t>Cheese</t>
  </si>
  <si>
    <t>Meat</t>
  </si>
  <si>
    <t>Other</t>
  </si>
  <si>
    <t>Kød</t>
  </si>
  <si>
    <t>Grøntsager</t>
  </si>
  <si>
    <t>Vegetables</t>
  </si>
  <si>
    <t>Info</t>
  </si>
  <si>
    <t>Neapolitansk pizza er kendt for sin minimalistiske stil, hvor færre toppings lader dejen, sauce og ost skinne igennem. Lettere mængder toppings hjælper også med at bevare den klassiske, sprøde skorpe.</t>
  </si>
  <si>
    <t>cirka</t>
  </si>
  <si>
    <t>Øvrigt*</t>
  </si>
  <si>
    <t>Sauce, ost og toppings</t>
  </si>
  <si>
    <t>Round Pizza (Non-Neapolitan) har typisk en tyndere bund. Lidt lettere mængder toppings sikrer, at bunden bager ordentligt og ikke bliver for tung.</t>
  </si>
  <si>
    <t>* jalapeños, soltørrede tomater, ndjua osv.</t>
  </si>
  <si>
    <t>Det er meget vigtigt for denne opskrift</t>
  </si>
  <si>
    <r>
      <t>at temperaturen ender på ca. 20</t>
    </r>
    <r>
      <rPr>
        <b/>
        <sz val="11"/>
        <color theme="0"/>
        <rFont val="Calibri"/>
        <family val="2"/>
        <scheme val="minor"/>
      </rPr>
      <t>°.</t>
    </r>
  </si>
  <si>
    <t>Lørdag</t>
  </si>
  <si>
    <r>
      <t xml:space="preserve">Dejen æltes i  ca. </t>
    </r>
    <r>
      <rPr>
        <b/>
        <sz val="12"/>
        <rFont val="Calibri"/>
        <family val="2"/>
        <scheme val="minor"/>
      </rPr>
      <t>10 min.</t>
    </r>
    <r>
      <rPr>
        <sz val="12"/>
        <rFont val="Calibri"/>
        <family val="2"/>
        <scheme val="minor"/>
      </rPr>
      <t xml:space="preserve"> i en røremaskine eller ca. </t>
    </r>
    <r>
      <rPr>
        <b/>
        <sz val="12"/>
        <rFont val="Calibri"/>
        <family val="2"/>
        <scheme val="minor"/>
      </rPr>
      <t>15 min.</t>
    </r>
    <r>
      <rPr>
        <sz val="12"/>
        <rFont val="Calibri"/>
        <family val="2"/>
        <scheme val="minor"/>
      </rPr>
      <t xml:space="preserve"> i hånden, til dejen er elastisk og blank.</t>
    </r>
  </si>
  <si>
    <t>Gorms grunddej til pizza</t>
  </si>
  <si>
    <t>Dækker godt uden at gøre bunden våd.</t>
  </si>
  <si>
    <t>Cremet og fyldig uden at overdøve.</t>
  </si>
  <si>
    <t>Giver smag og fylde uden at tynge.</t>
  </si>
  <si>
    <t>Bidrager med friskhed og balance.</t>
  </si>
  <si>
    <t>Smagsløft – fx oliven, pesto, chili.</t>
  </si>
  <si>
    <t>Tyndt lag sauce, giver god syre og smag uden at blive for tung.</t>
  </si>
  <si>
    <t>Lette mængder mozzarella, giver blødhed og smelteevne.</t>
  </si>
  <si>
    <t>Lettere mængde kød – typisk skinke eller prosciutto.</t>
  </si>
  <si>
    <t>Friskhed og lethed, typisk basilikum, tomater eller oliven.</t>
  </si>
  <si>
    <t>Ekstra smagsgivere – evt. olivenolie eller krydderurter.</t>
  </si>
  <si>
    <t>Kommentarer</t>
  </si>
  <si>
    <r>
      <rPr>
        <b/>
        <sz val="20"/>
        <color rgb="FF0000FF"/>
        <rFont val="Calibri"/>
        <family val="2"/>
        <scheme val="minor"/>
      </rPr>
      <t xml:space="preserve">Er du glad for at bruge PizzaTool? </t>
    </r>
    <r>
      <rPr>
        <b/>
        <sz val="18"/>
        <color rgb="FF0000FF"/>
        <rFont val="Calibri"/>
        <family val="2"/>
        <scheme val="minor"/>
      </rPr>
      <t xml:space="preserve">             Så overvej at gi' en kop "kaffe" her:                         Tak :)</t>
    </r>
  </si>
  <si>
    <t>Frisk gær</t>
  </si>
  <si>
    <t>Tørgær</t>
  </si>
  <si>
    <t>Skalering</t>
  </si>
  <si>
    <t>Gær i model</t>
  </si>
  <si>
    <t>Faktor</t>
  </si>
  <si>
    <t>Skaler ingredienser</t>
  </si>
  <si>
    <r>
      <t xml:space="preserve">PizzaTool </t>
    </r>
    <r>
      <rPr>
        <b/>
        <sz val="12"/>
        <color theme="0"/>
        <rFont val="Lucida Sans"/>
        <family val="2"/>
      </rPr>
      <t>v14.6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</si>
</sst>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0.0%"/>
    <numFmt numFmtId="165" formatCode="0.0"/>
    <numFmt numFmtId="166" formatCode="hh:mm;@"/>
    <numFmt numFmtId="167" formatCode="yyyy/mm/dd\ hh:mm;@"/>
    <numFmt numFmtId="168" formatCode="dddd\ dd\/mm"/>
    <numFmt numFmtId="169" formatCode="#,##0.0"/>
    <numFmt numFmtId="170" formatCode="0.000"/>
    <numFmt numFmtId="171" formatCode="0.0000000"/>
    <numFmt numFmtId="172" formatCode="&quot;~&quot;0&quot; g.&quot;"/>
    <numFmt numFmtId="173" formatCode="0&quot; g.&quot;"/>
    <numFmt numFmtId="174" formatCode="0&quot;°&quot;"/>
    <numFmt numFmtId="175" formatCode="0&quot; min.&quot;"/>
    <numFmt numFmtId="176" formatCode="0.00000"/>
    <numFmt numFmtId="177" formatCode="0.000%"/>
    <numFmt numFmtId="178" formatCode="0.000000"/>
    <numFmt numFmtId="179" formatCode="0\ &quot;voksne&quot;"/>
    <numFmt numFmtId="180" formatCode="0&quot; børn&quot;"/>
    <numFmt numFmtId="181" formatCode="0&quot; slices&quot;"/>
    <numFmt numFmtId="182" formatCode="0.000000000"/>
    <numFmt numFmtId="183" formatCode="#,##0.00&quot; g.&quot;"/>
    <numFmt numFmtId="184" formatCode="#,##0.0&quot; g.&quot;"/>
    <numFmt numFmtId="185" formatCode="####"/>
    <numFmt numFmtId="186" formatCode="#,##0&quot; g.&quot;"/>
    <numFmt numFmtId="187" formatCode="\~[h]:mm"/>
    <numFmt numFmtId="188" formatCode="dd/mm/yyyy\ \ \ /\ \ \ \c\a\.\ \k\l\.\ hh:mm"/>
    <numFmt numFmtId="189" formatCode="&quot;start ca. kl.&quot;\ hh:mm"/>
    <numFmt numFmtId="190" formatCode="&quot;Start ca. kl.&quot;\ hh:mm"/>
    <numFmt numFmtId="191" formatCode="&quot; - start ca. kl.&quot;\ hh:m"/>
    <numFmt numFmtId="192" formatCode="&quot; - start ca. kl.&quot;\ hh:mm"/>
  </numFmts>
  <fonts count="219">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font>
    <font>
      <sz val="11"/>
      <name val="Calibri"/>
      <family val="2"/>
      <scheme val="minor"/>
    </font>
    <font>
      <b/>
      <sz val="14"/>
      <color theme="1"/>
      <name val="Calibri"/>
      <family val="2"/>
      <scheme val="minor"/>
    </font>
    <font>
      <b/>
      <sz val="11"/>
      <name val="Calibri"/>
      <family val="2"/>
      <scheme val="minor"/>
    </font>
    <font>
      <sz val="10"/>
      <color theme="1"/>
      <name val="Calibri"/>
      <family val="2"/>
      <scheme val="minor"/>
    </font>
    <font>
      <i/>
      <sz val="10"/>
      <color theme="1"/>
      <name val="Calibri"/>
      <family val="2"/>
      <scheme val="minor"/>
    </font>
    <font>
      <i/>
      <sz val="12"/>
      <color theme="1"/>
      <name val="Calibri"/>
      <family val="2"/>
      <scheme val="minor"/>
    </font>
    <font>
      <sz val="11"/>
      <color theme="1"/>
      <name val="Calibri"/>
      <family val="2"/>
    </font>
    <font>
      <sz val="11"/>
      <color rgb="FF241C14"/>
      <name val="Calibri"/>
      <family val="2"/>
      <scheme val="minor"/>
    </font>
    <font>
      <sz val="12"/>
      <color rgb="FF2962FF"/>
      <name val="Roboto"/>
    </font>
    <font>
      <sz val="11"/>
      <color rgb="FF000000"/>
      <name val="Arial"/>
      <family val="2"/>
    </font>
    <font>
      <sz val="11"/>
      <color rgb="FF000000"/>
      <name val="Calibri"/>
      <family val="2"/>
      <scheme val="minor"/>
    </font>
    <font>
      <sz val="8"/>
      <color rgb="FF000000"/>
      <name val="Open Sans"/>
      <family val="2"/>
    </font>
    <font>
      <u/>
      <sz val="11"/>
      <color theme="1"/>
      <name val="Calibri"/>
      <family val="2"/>
      <scheme val="minor"/>
    </font>
    <font>
      <sz val="7"/>
      <color rgb="FFFF0000"/>
      <name val="Verdana"/>
      <family val="2"/>
    </font>
    <font>
      <sz val="11"/>
      <color rgb="FF4D4D4D"/>
      <name val="Verdana"/>
      <family val="2"/>
    </font>
    <font>
      <sz val="8"/>
      <color theme="1"/>
      <name val="Open Sans"/>
      <family val="2"/>
    </font>
    <font>
      <b/>
      <u/>
      <sz val="14"/>
      <color theme="10"/>
      <name val="Calibri"/>
      <family val="2"/>
      <scheme val="minor"/>
    </font>
    <font>
      <i/>
      <sz val="9"/>
      <color theme="1"/>
      <name val="Calibri"/>
      <family val="2"/>
      <scheme val="minor"/>
    </font>
    <font>
      <sz val="11"/>
      <color theme="1"/>
      <name val="Roboto"/>
    </font>
    <font>
      <b/>
      <i/>
      <sz val="11"/>
      <color theme="1"/>
      <name val="Calibri"/>
      <family val="2"/>
      <scheme val="minor"/>
    </font>
    <font>
      <sz val="10"/>
      <color rgb="FF000000"/>
      <name val="Arial"/>
      <family val="2"/>
    </font>
    <font>
      <b/>
      <sz val="11"/>
      <color theme="0"/>
      <name val="Calibri"/>
      <family val="2"/>
      <scheme val="minor"/>
    </font>
    <font>
      <sz val="11"/>
      <color theme="0"/>
      <name val="Calibri"/>
      <family val="2"/>
      <scheme val="minor"/>
    </font>
    <font>
      <sz val="11"/>
      <color theme="0"/>
      <name val="Aharoni"/>
      <charset val="177"/>
    </font>
    <font>
      <sz val="24"/>
      <color theme="0"/>
      <name val="Aharoni"/>
      <charset val="177"/>
    </font>
    <font>
      <sz val="12"/>
      <color theme="0"/>
      <name val="Calibri"/>
      <family val="2"/>
      <scheme val="minor"/>
    </font>
    <font>
      <sz val="12"/>
      <color theme="1"/>
      <name val="Calibri"/>
      <family val="2"/>
      <scheme val="minor"/>
    </font>
    <font>
      <sz val="14"/>
      <color theme="0"/>
      <name val="Calibri"/>
      <family val="2"/>
      <scheme val="minor"/>
    </font>
    <font>
      <sz val="14"/>
      <color theme="1"/>
      <name val="Calibri"/>
      <family val="2"/>
      <scheme val="minor"/>
    </font>
    <font>
      <b/>
      <sz val="14"/>
      <color theme="0"/>
      <name val="Calibri"/>
      <family val="2"/>
      <scheme val="minor"/>
    </font>
    <font>
      <b/>
      <sz val="16"/>
      <color theme="0"/>
      <name val="Calibri"/>
      <family val="2"/>
      <scheme val="minor"/>
    </font>
    <font>
      <sz val="10"/>
      <color theme="0"/>
      <name val="Calibri"/>
      <family val="2"/>
      <scheme val="minor"/>
    </font>
    <font>
      <i/>
      <sz val="12"/>
      <color theme="0"/>
      <name val="Calibri"/>
      <family val="2"/>
      <scheme val="minor"/>
    </font>
    <font>
      <i/>
      <sz val="11"/>
      <color theme="0"/>
      <name val="Calibri"/>
      <family val="2"/>
      <scheme val="minor"/>
    </font>
    <font>
      <b/>
      <sz val="12"/>
      <color theme="0"/>
      <name val="Calibri"/>
      <family val="2"/>
      <scheme val="minor"/>
    </font>
    <font>
      <i/>
      <sz val="14"/>
      <color theme="0"/>
      <name val="Calibri"/>
      <family val="2"/>
      <scheme val="minor"/>
    </font>
    <font>
      <i/>
      <sz val="12"/>
      <name val="Calibri"/>
      <family val="2"/>
      <scheme val="minor"/>
    </font>
    <font>
      <sz val="12"/>
      <color theme="0"/>
      <name val="Calibri"/>
      <family val="2"/>
    </font>
    <font>
      <b/>
      <sz val="20"/>
      <color theme="0"/>
      <name val="Calibri"/>
      <family val="2"/>
      <scheme val="minor"/>
    </font>
    <font>
      <b/>
      <sz val="22"/>
      <color theme="0"/>
      <name val="Calibri"/>
      <family val="2"/>
      <scheme val="minor"/>
    </font>
    <font>
      <i/>
      <sz val="16"/>
      <color theme="0"/>
      <name val="Calibri"/>
      <family val="2"/>
      <scheme val="minor"/>
    </font>
    <font>
      <u/>
      <sz val="10"/>
      <color theme="0"/>
      <name val="Calibri"/>
      <family val="2"/>
      <scheme val="minor"/>
    </font>
    <font>
      <b/>
      <sz val="10"/>
      <color theme="0"/>
      <name val="Calibri"/>
      <family val="2"/>
      <scheme val="minor"/>
    </font>
    <font>
      <b/>
      <sz val="12"/>
      <color theme="0"/>
      <name val="Calibri"/>
      <family val="2"/>
    </font>
    <font>
      <sz val="10.5"/>
      <color theme="0"/>
      <name val="Calibri"/>
      <family val="2"/>
      <scheme val="minor"/>
    </font>
    <font>
      <b/>
      <i/>
      <sz val="12"/>
      <color theme="0"/>
      <name val="Calibri"/>
      <family val="2"/>
      <scheme val="minor"/>
    </font>
    <font>
      <b/>
      <i/>
      <sz val="11"/>
      <color theme="0"/>
      <name val="Calibri"/>
      <family val="2"/>
      <scheme val="minor"/>
    </font>
    <font>
      <i/>
      <sz val="10"/>
      <color theme="0"/>
      <name val="Calibri"/>
      <family val="2"/>
      <scheme val="minor"/>
    </font>
    <font>
      <b/>
      <i/>
      <sz val="14"/>
      <color theme="0"/>
      <name val="Calibri"/>
      <family val="2"/>
      <scheme val="minor"/>
    </font>
    <font>
      <sz val="14"/>
      <name val="Calibri"/>
      <family val="2"/>
      <scheme val="minor"/>
    </font>
    <font>
      <b/>
      <sz val="18"/>
      <color theme="1"/>
      <name val="Calibri"/>
      <family val="2"/>
      <scheme val="minor"/>
    </font>
    <font>
      <sz val="9"/>
      <color theme="0"/>
      <name val="Calibri"/>
      <family val="2"/>
      <scheme val="minor"/>
    </font>
    <font>
      <b/>
      <sz val="12"/>
      <color theme="0" tint="-0.249977111117893"/>
      <name val="Calibri"/>
      <family val="2"/>
      <scheme val="minor"/>
    </font>
    <font>
      <sz val="12"/>
      <color theme="0" tint="-0.249977111117893"/>
      <name val="Calibri"/>
      <family val="2"/>
      <scheme val="minor"/>
    </font>
    <font>
      <i/>
      <sz val="12"/>
      <color theme="0" tint="-0.249977111117893"/>
      <name val="Calibri"/>
      <family val="2"/>
      <scheme val="minor"/>
    </font>
    <font>
      <sz val="11"/>
      <color theme="0" tint="-0.249977111117893"/>
      <name val="Calibri"/>
      <family val="2"/>
      <scheme val="minor"/>
    </font>
    <font>
      <b/>
      <sz val="9"/>
      <color theme="0"/>
      <name val="Calibri"/>
      <family val="2"/>
      <scheme val="minor"/>
    </font>
    <font>
      <i/>
      <sz val="8"/>
      <color theme="0"/>
      <name val="Calibri"/>
      <family val="2"/>
      <scheme val="minor"/>
    </font>
    <font>
      <sz val="12"/>
      <name val="Calibri"/>
      <family val="2"/>
      <scheme val="minor"/>
    </font>
    <font>
      <i/>
      <sz val="12"/>
      <color theme="0" tint="-4.9989318521683403E-2"/>
      <name val="Calibri"/>
      <family val="2"/>
      <scheme val="minor"/>
    </font>
    <font>
      <i/>
      <sz val="11"/>
      <color theme="0" tint="-4.9989318521683403E-2"/>
      <name val="Calibri"/>
      <family val="2"/>
      <scheme val="minor"/>
    </font>
    <font>
      <b/>
      <sz val="12"/>
      <color theme="0" tint="-4.9989318521683403E-2"/>
      <name val="Calibri"/>
      <family val="2"/>
      <scheme val="minor"/>
    </font>
    <font>
      <b/>
      <sz val="12"/>
      <name val="Calibri"/>
      <family val="2"/>
      <scheme val="minor"/>
    </font>
    <font>
      <i/>
      <sz val="11"/>
      <name val="Calibri"/>
      <family val="2"/>
      <scheme val="minor"/>
    </font>
    <font>
      <sz val="10"/>
      <name val="Calibri"/>
      <family val="2"/>
      <scheme val="minor"/>
    </font>
    <font>
      <sz val="12"/>
      <name val="Calibri Light"/>
      <family val="2"/>
      <scheme val="major"/>
    </font>
    <font>
      <b/>
      <i/>
      <sz val="12"/>
      <color theme="0" tint="-4.9989318521683403E-2"/>
      <name val="Calibri"/>
      <family val="2"/>
      <scheme val="minor"/>
    </font>
    <font>
      <sz val="11"/>
      <color rgb="FF000000"/>
      <name val="Calibri"/>
      <family val="2"/>
    </font>
    <font>
      <sz val="14"/>
      <name val="Calibri Light"/>
      <family val="2"/>
      <scheme val="major"/>
    </font>
    <font>
      <sz val="12"/>
      <color theme="0"/>
      <name val="Aharoni"/>
      <charset val="177"/>
    </font>
    <font>
      <sz val="14"/>
      <color theme="0"/>
      <name val="Aharoni"/>
      <charset val="177"/>
    </font>
    <font>
      <b/>
      <sz val="20"/>
      <name val="Calibri"/>
      <family val="2"/>
      <scheme val="minor"/>
    </font>
    <font>
      <sz val="12"/>
      <color rgb="FF555555"/>
      <name val="Calibri"/>
      <family val="2"/>
      <scheme val="minor"/>
    </font>
    <font>
      <sz val="12"/>
      <name val="Ahorni"/>
    </font>
    <font>
      <b/>
      <sz val="14"/>
      <color theme="0"/>
      <name val="Ahorni"/>
    </font>
    <font>
      <sz val="14"/>
      <name val="Ahorni"/>
    </font>
    <font>
      <sz val="12"/>
      <color theme="0"/>
      <name val="Ahorni"/>
    </font>
    <font>
      <b/>
      <sz val="14"/>
      <name val="Calibri"/>
      <family val="2"/>
      <scheme val="minor"/>
    </font>
    <font>
      <sz val="13"/>
      <name val="Calibri"/>
      <family val="2"/>
      <scheme val="minor"/>
    </font>
    <font>
      <b/>
      <sz val="13"/>
      <name val="Calibri"/>
      <family val="2"/>
      <scheme val="minor"/>
    </font>
    <font>
      <b/>
      <sz val="16"/>
      <color theme="1"/>
      <name val="Calibri"/>
      <family val="2"/>
      <scheme val="minor"/>
    </font>
    <font>
      <b/>
      <i/>
      <sz val="10"/>
      <color theme="0"/>
      <name val="Calibri"/>
      <family val="2"/>
      <scheme val="minor"/>
    </font>
    <font>
      <sz val="28"/>
      <color theme="0"/>
      <name val="Aharoni"/>
      <charset val="177"/>
    </font>
    <font>
      <sz val="14"/>
      <color theme="0"/>
      <name val="Aharoni"/>
      <charset val="177"/>
    </font>
    <font>
      <b/>
      <i/>
      <sz val="12"/>
      <name val="Calibri"/>
      <family val="2"/>
      <scheme val="minor"/>
    </font>
    <font>
      <i/>
      <sz val="10"/>
      <name val="Calibri"/>
      <family val="2"/>
      <scheme val="minor"/>
    </font>
    <font>
      <sz val="10"/>
      <color rgb="FF211E1E"/>
      <name val="Arimo"/>
    </font>
    <font>
      <b/>
      <i/>
      <sz val="12"/>
      <color theme="0"/>
      <name val="Calibri Light"/>
      <family val="2"/>
      <scheme val="major"/>
    </font>
    <font>
      <sz val="20"/>
      <name val="Calibri"/>
      <family val="2"/>
      <scheme val="minor"/>
    </font>
    <font>
      <i/>
      <sz val="12"/>
      <color theme="0" tint="-0.499984740745262"/>
      <name val="Calibri"/>
      <family val="2"/>
      <scheme val="minor"/>
    </font>
    <font>
      <b/>
      <i/>
      <sz val="12"/>
      <color theme="0" tint="-0.499984740745262"/>
      <name val="Calibri"/>
      <family val="2"/>
      <scheme val="minor"/>
    </font>
    <font>
      <b/>
      <u/>
      <sz val="12"/>
      <color theme="0"/>
      <name val="Calibri"/>
      <family val="2"/>
      <scheme val="minor"/>
    </font>
    <font>
      <i/>
      <sz val="9"/>
      <color theme="0"/>
      <name val="Calibri"/>
      <family val="2"/>
      <scheme val="minor"/>
    </font>
    <font>
      <b/>
      <sz val="11"/>
      <color rgb="FF222222"/>
      <name val="Calibri"/>
      <family val="2"/>
      <scheme val="minor"/>
    </font>
    <font>
      <sz val="11"/>
      <color rgb="FF222222"/>
      <name val="Calibri"/>
      <family val="2"/>
      <scheme val="minor"/>
    </font>
    <font>
      <b/>
      <u/>
      <sz val="12"/>
      <name val="Calibri"/>
      <family val="2"/>
      <scheme val="minor"/>
    </font>
    <font>
      <sz val="8"/>
      <color theme="1" tint="0.499984740745262"/>
      <name val="Aharoni"/>
      <charset val="177"/>
    </font>
    <font>
      <b/>
      <sz val="12"/>
      <color rgb="FF363940"/>
      <name val="Calibri"/>
      <family val="2"/>
      <scheme val="minor"/>
    </font>
    <font>
      <sz val="12"/>
      <color rgb="FF363940"/>
      <name val="Calibri"/>
      <family val="2"/>
      <scheme val="minor"/>
    </font>
    <font>
      <sz val="11"/>
      <color rgb="FFFF3300"/>
      <name val="Calibri"/>
      <family val="2"/>
      <scheme val="minor"/>
    </font>
    <font>
      <sz val="11"/>
      <color theme="9" tint="-0.499984740745262"/>
      <name val="Calibri"/>
      <family val="2"/>
      <scheme val="minor"/>
    </font>
    <font>
      <b/>
      <sz val="11"/>
      <color rgb="FFFF3300"/>
      <name val="Calibri"/>
      <family val="2"/>
      <scheme val="minor"/>
    </font>
    <font>
      <b/>
      <sz val="12"/>
      <color theme="1"/>
      <name val="Calibri"/>
      <family val="2"/>
      <scheme val="minor"/>
    </font>
    <font>
      <b/>
      <sz val="20"/>
      <color theme="1"/>
      <name val="Calibri"/>
      <family val="2"/>
      <scheme val="minor"/>
    </font>
    <font>
      <sz val="12"/>
      <color rgb="FF000000"/>
      <name val="Calibri"/>
      <family val="2"/>
      <scheme val="minor"/>
    </font>
    <font>
      <b/>
      <sz val="12"/>
      <color rgb="FF000000"/>
      <name val="Calibri"/>
      <family val="2"/>
      <scheme val="minor"/>
    </font>
    <font>
      <sz val="12"/>
      <color rgb="FF000000"/>
      <name val="Calibri"/>
      <family val="2"/>
      <scheme val="minor"/>
    </font>
    <font>
      <b/>
      <u/>
      <sz val="12"/>
      <color theme="1"/>
      <name val="Calibri"/>
      <family val="2"/>
      <scheme val="minor"/>
    </font>
    <font>
      <sz val="14"/>
      <color theme="0"/>
      <name val="Aharoni"/>
      <charset val="177"/>
    </font>
    <font>
      <b/>
      <u/>
      <sz val="14"/>
      <name val="Calibri"/>
      <family val="2"/>
      <scheme val="minor"/>
    </font>
    <font>
      <b/>
      <i/>
      <u/>
      <sz val="20"/>
      <color theme="1"/>
      <name val="Calibri"/>
      <family val="2"/>
      <scheme val="minor"/>
    </font>
    <font>
      <b/>
      <i/>
      <sz val="17"/>
      <color rgb="FFEBCF32"/>
      <name val="Ahoni"/>
    </font>
    <font>
      <sz val="8"/>
      <color theme="0" tint="-0.499984740745262"/>
      <name val="Aharoni"/>
      <charset val="177"/>
    </font>
    <font>
      <b/>
      <sz val="14"/>
      <color theme="0"/>
      <name val="Ahino"/>
    </font>
    <font>
      <b/>
      <sz val="14"/>
      <color theme="0"/>
      <name val="Ahoni"/>
    </font>
    <font>
      <b/>
      <sz val="14"/>
      <color theme="0"/>
      <name val="Ahini"/>
    </font>
    <font>
      <b/>
      <sz val="24"/>
      <color theme="0"/>
      <name val="Ahini"/>
    </font>
    <font>
      <b/>
      <sz val="14"/>
      <color theme="0"/>
      <name val="Aharoni"/>
      <charset val="177"/>
    </font>
    <font>
      <b/>
      <sz val="12"/>
      <color theme="0" tint="-0.34998626667073579"/>
      <name val="Calibri"/>
      <family val="2"/>
      <scheme val="minor"/>
    </font>
    <font>
      <b/>
      <sz val="12"/>
      <color rgb="FFEBCF32"/>
      <name val="Calibri"/>
      <family val="2"/>
      <scheme val="minor"/>
    </font>
    <font>
      <sz val="14"/>
      <color rgb="FFEBCF32"/>
      <name val="Calibri"/>
      <family val="2"/>
      <scheme val="minor"/>
    </font>
    <font>
      <b/>
      <sz val="8"/>
      <color theme="1" tint="0.499984740745262"/>
      <name val="Aharoni"/>
      <charset val="177"/>
    </font>
    <font>
      <b/>
      <u/>
      <sz val="11"/>
      <color theme="0"/>
      <name val="Calibri"/>
      <family val="2"/>
      <scheme val="minor"/>
    </font>
    <font>
      <b/>
      <sz val="9"/>
      <color theme="1"/>
      <name val="Calibri"/>
      <family val="2"/>
      <scheme val="minor"/>
    </font>
    <font>
      <b/>
      <i/>
      <sz val="12"/>
      <color theme="1"/>
      <name val="Calibri"/>
      <family val="2"/>
      <scheme val="minor"/>
    </font>
    <font>
      <i/>
      <sz val="10"/>
      <color theme="0" tint="-0.249977111117893"/>
      <name val="Calibri"/>
      <family val="2"/>
      <scheme val="minor"/>
    </font>
    <font>
      <b/>
      <sz val="12"/>
      <color theme="1"/>
      <name val="Calibri"/>
      <family val="2"/>
    </font>
    <font>
      <b/>
      <sz val="11"/>
      <color theme="0"/>
      <name val="Lucida Sans"/>
      <family val="2"/>
    </font>
    <font>
      <b/>
      <sz val="28"/>
      <color theme="0"/>
      <name val="Lucida Sans"/>
      <family val="2"/>
    </font>
    <font>
      <sz val="26"/>
      <color theme="0"/>
      <name val="Lucida Sans"/>
      <family val="2"/>
    </font>
    <font>
      <b/>
      <sz val="26"/>
      <color theme="0"/>
      <name val="Lucida Sans"/>
      <family val="2"/>
    </font>
    <font>
      <sz val="24"/>
      <color theme="0"/>
      <name val="Lucida Sans"/>
      <family val="2"/>
    </font>
    <font>
      <b/>
      <sz val="10"/>
      <color theme="0" tint="-0.249977111117893"/>
      <name val="Aharoni"/>
      <charset val="177"/>
    </font>
    <font>
      <sz val="18"/>
      <color theme="1"/>
      <name val="Calibri"/>
      <family val="2"/>
      <scheme val="minor"/>
    </font>
    <font>
      <b/>
      <sz val="18"/>
      <color theme="0"/>
      <name val="Calibri"/>
      <family val="2"/>
      <scheme val="minor"/>
    </font>
    <font>
      <b/>
      <sz val="20"/>
      <name val="Lucida Sans"/>
      <family val="2"/>
    </font>
    <font>
      <sz val="12"/>
      <color theme="1" tint="0.249977111117893"/>
      <name val="Lucida Sans"/>
      <family val="2"/>
    </font>
    <font>
      <sz val="11"/>
      <color rgb="FFD8482A"/>
      <name val="Calibri"/>
      <family val="2"/>
      <scheme val="minor"/>
    </font>
    <font>
      <sz val="11"/>
      <color theme="1" tint="0.34998626667073579"/>
      <name val="Calibri"/>
      <family val="2"/>
      <scheme val="minor"/>
    </font>
    <font>
      <sz val="24"/>
      <color theme="1" tint="0.34998626667073579"/>
      <name val="Aharoni"/>
      <charset val="177"/>
    </font>
    <font>
      <sz val="26"/>
      <color theme="1" tint="0.34998626667073579"/>
      <name val="Lucida Sans"/>
      <family val="2"/>
    </font>
    <font>
      <b/>
      <sz val="11"/>
      <color theme="1" tint="0.34998626667073579"/>
      <name val="Calibri"/>
      <family val="2"/>
      <scheme val="minor"/>
    </font>
    <font>
      <i/>
      <sz val="9"/>
      <color theme="1" tint="0.34998626667073579"/>
      <name val="Calibri"/>
      <family val="2"/>
      <scheme val="minor"/>
    </font>
    <font>
      <i/>
      <sz val="8"/>
      <color theme="1" tint="0.34998626667073579"/>
      <name val="Calibri"/>
      <family val="2"/>
      <scheme val="minor"/>
    </font>
    <font>
      <b/>
      <sz val="26"/>
      <color theme="1" tint="0.34998626667073579"/>
      <name val="Lucida Sans"/>
      <family val="2"/>
    </font>
    <font>
      <b/>
      <sz val="22"/>
      <color theme="1" tint="0.34998626667073579"/>
      <name val="Lucida Sans"/>
      <family val="2"/>
    </font>
    <font>
      <sz val="11"/>
      <color theme="1"/>
      <name val="Arial"/>
      <family val="2"/>
    </font>
    <font>
      <b/>
      <i/>
      <sz val="10"/>
      <color theme="1"/>
      <name val="Calibri"/>
      <family val="2"/>
      <scheme val="minor"/>
    </font>
    <font>
      <b/>
      <sz val="12"/>
      <color theme="0"/>
      <name val="Lucida Sans"/>
      <family val="2"/>
    </font>
    <font>
      <sz val="12"/>
      <color theme="1"/>
      <name val="Calibri"/>
      <family val="2"/>
    </font>
    <font>
      <sz val="12"/>
      <color rgb="FFFF3300"/>
      <name val="Calibri"/>
      <family val="2"/>
      <scheme val="minor"/>
    </font>
    <font>
      <i/>
      <sz val="12"/>
      <color rgb="FFFF0000"/>
      <name val="Calibri"/>
      <family val="2"/>
      <scheme val="minor"/>
    </font>
    <font>
      <b/>
      <sz val="13"/>
      <color theme="1"/>
      <name val="Calibri"/>
      <family val="2"/>
      <scheme val="minor"/>
    </font>
    <font>
      <b/>
      <i/>
      <sz val="13"/>
      <color theme="1"/>
      <name val="Calibri"/>
      <family val="2"/>
      <scheme val="minor"/>
    </font>
    <font>
      <i/>
      <sz val="13"/>
      <color theme="1"/>
      <name val="Calibri"/>
      <family val="2"/>
      <scheme val="minor"/>
    </font>
    <font>
      <sz val="13"/>
      <color theme="1"/>
      <name val="Calibri"/>
      <family val="2"/>
      <scheme val="minor"/>
    </font>
    <font>
      <sz val="13"/>
      <color theme="1"/>
      <name val="Calibri"/>
      <family val="2"/>
    </font>
    <font>
      <i/>
      <sz val="13"/>
      <color rgb="FFFF0000"/>
      <name val="Calibri"/>
      <family val="2"/>
      <scheme val="minor"/>
    </font>
    <font>
      <i/>
      <sz val="12"/>
      <color rgb="FFFF3300"/>
      <name val="Calibri"/>
      <family val="2"/>
      <scheme val="minor"/>
    </font>
    <font>
      <sz val="12"/>
      <color theme="1" tint="0.499984740745262"/>
      <name val="Aharoni"/>
      <charset val="177"/>
    </font>
    <font>
      <b/>
      <i/>
      <sz val="12"/>
      <color rgb="FFFF0000"/>
      <name val="Calibri"/>
      <family val="2"/>
    </font>
    <font>
      <sz val="10"/>
      <color theme="0" tint="-0.14999847407452621"/>
      <name val="Calibri"/>
      <family val="2"/>
      <scheme val="minor"/>
    </font>
    <font>
      <u/>
      <sz val="12"/>
      <color theme="1"/>
      <name val="Calibri"/>
      <family val="2"/>
      <scheme val="minor"/>
    </font>
    <font>
      <sz val="12"/>
      <name val="Calibri"/>
      <family val="2"/>
    </font>
    <font>
      <sz val="12"/>
      <color theme="0" tint="-0.34998626667073579"/>
      <name val="Calibri"/>
      <family val="2"/>
      <scheme val="minor"/>
    </font>
    <font>
      <i/>
      <sz val="12"/>
      <color theme="0" tint="-0.34998626667073579"/>
      <name val="Calibri"/>
      <family val="2"/>
      <scheme val="minor"/>
    </font>
    <font>
      <b/>
      <i/>
      <sz val="13"/>
      <color theme="0" tint="-4.9989318521683403E-2"/>
      <name val="Calibri"/>
      <family val="2"/>
      <scheme val="minor"/>
    </font>
    <font>
      <sz val="9"/>
      <color rgb="FF000000"/>
      <name val="Montserrat"/>
    </font>
    <font>
      <sz val="12"/>
      <color rgb="FFFF0000"/>
      <name val="Calibri"/>
      <family val="2"/>
      <scheme val="minor"/>
    </font>
    <font>
      <b/>
      <sz val="12"/>
      <color rgb="FF993300"/>
      <name val="Calibri"/>
      <family val="2"/>
      <scheme val="minor"/>
    </font>
    <font>
      <sz val="11"/>
      <color rgb="FF993300"/>
      <name val="Calibri"/>
      <family val="2"/>
      <scheme val="minor"/>
    </font>
    <font>
      <i/>
      <sz val="10"/>
      <color rgb="FF993300"/>
      <name val="Calibri"/>
      <family val="2"/>
      <scheme val="minor"/>
    </font>
    <font>
      <b/>
      <u/>
      <sz val="12"/>
      <color rgb="FF993300"/>
      <name val="Calibri"/>
      <family val="2"/>
      <scheme val="minor"/>
    </font>
    <font>
      <sz val="24"/>
      <color theme="0"/>
      <name val="Aharoni"/>
      <charset val="177"/>
    </font>
    <font>
      <b/>
      <sz val="22"/>
      <color theme="0"/>
      <name val="Lucida Sans"/>
      <family val="2"/>
    </font>
    <font>
      <sz val="9"/>
      <color indexed="81"/>
      <name val="Tahoma"/>
      <family val="2"/>
    </font>
    <font>
      <b/>
      <sz val="9"/>
      <color indexed="81"/>
      <name val="Tahoma"/>
      <family val="2"/>
    </font>
    <font>
      <sz val="2"/>
      <color indexed="81"/>
      <name val="Tahoma"/>
      <family val="2"/>
    </font>
    <font>
      <b/>
      <u/>
      <sz val="11"/>
      <color theme="1"/>
      <name val="Calibri"/>
      <family val="2"/>
      <scheme val="minor"/>
    </font>
    <font>
      <i/>
      <u/>
      <sz val="11"/>
      <color theme="0"/>
      <name val="Calibri"/>
      <family val="2"/>
      <scheme val="minor"/>
    </font>
    <font>
      <sz val="10.5"/>
      <name val="Calibri"/>
      <family val="2"/>
      <scheme val="minor"/>
    </font>
    <font>
      <b/>
      <i/>
      <sz val="13"/>
      <color theme="1"/>
      <name val="Calibri"/>
      <family val="2"/>
    </font>
    <font>
      <u/>
      <sz val="11"/>
      <color theme="0"/>
      <name val="Calibri"/>
      <family val="2"/>
      <scheme val="minor"/>
    </font>
    <font>
      <sz val="11"/>
      <color theme="1"/>
      <name val="Calibri"/>
      <family val="2"/>
      <scheme val="minor"/>
    </font>
    <font>
      <sz val="14"/>
      <color theme="1"/>
      <name val="Wingdings"/>
      <charset val="2"/>
    </font>
    <font>
      <i/>
      <sz val="10.5"/>
      <color theme="1"/>
      <name val="Calibri"/>
      <family val="2"/>
      <scheme val="minor"/>
    </font>
    <font>
      <sz val="8"/>
      <name val="Calibri"/>
      <family val="2"/>
      <scheme val="minor"/>
    </font>
    <font>
      <b/>
      <sz val="17"/>
      <color theme="0"/>
      <name val="Calibri"/>
      <family val="2"/>
      <scheme val="minor"/>
    </font>
    <font>
      <sz val="17"/>
      <color theme="0"/>
      <name val="Calibri"/>
      <family val="2"/>
      <scheme val="minor"/>
    </font>
    <font>
      <b/>
      <u/>
      <sz val="11"/>
      <name val="Calibri"/>
      <family val="2"/>
      <scheme val="minor"/>
    </font>
    <font>
      <i/>
      <u/>
      <sz val="12"/>
      <color theme="1"/>
      <name val="Calibri"/>
      <family val="2"/>
      <scheme val="minor"/>
    </font>
    <font>
      <b/>
      <i/>
      <sz val="10"/>
      <color theme="1" tint="0.499984740745262"/>
      <name val="Calibri"/>
      <family val="2"/>
      <scheme val="minor"/>
    </font>
    <font>
      <sz val="12"/>
      <color theme="1" tint="0.499984740745262"/>
      <name val="Calibri"/>
      <family val="2"/>
      <scheme val="minor"/>
    </font>
    <font>
      <sz val="11"/>
      <color theme="1"/>
      <name val="Wingdings"/>
      <charset val="2"/>
    </font>
    <font>
      <i/>
      <u/>
      <sz val="11"/>
      <color theme="1"/>
      <name val="Calibri"/>
      <family val="2"/>
      <scheme val="minor"/>
    </font>
    <font>
      <b/>
      <sz val="12"/>
      <name val="Calibri"/>
      <family val="2"/>
    </font>
    <font>
      <i/>
      <u/>
      <sz val="11"/>
      <color rgb="FF0000FF"/>
      <name val="Calibri"/>
      <family val="2"/>
      <scheme val="minor"/>
    </font>
    <font>
      <i/>
      <sz val="10"/>
      <color theme="0" tint="-4.9989318521683403E-2"/>
      <name val="Calibri"/>
      <family val="2"/>
      <scheme val="minor"/>
    </font>
    <font>
      <sz val="11.5"/>
      <color theme="1"/>
      <name val="Calibri"/>
      <family val="2"/>
      <scheme val="minor"/>
    </font>
    <font>
      <i/>
      <sz val="11.5"/>
      <color theme="1"/>
      <name val="Calibri"/>
      <family val="2"/>
      <scheme val="minor"/>
    </font>
    <font>
      <sz val="11.5"/>
      <color theme="1"/>
      <name val="Arial"/>
      <family val="2"/>
    </font>
    <font>
      <i/>
      <sz val="11"/>
      <color theme="0" tint="-0.249977111117893"/>
      <name val="Calibri"/>
      <family val="2"/>
      <scheme val="minor"/>
    </font>
    <font>
      <i/>
      <sz val="11"/>
      <color theme="0" tint="-0.34998626667073579"/>
      <name val="Calibri"/>
      <family val="2"/>
      <scheme val="minor"/>
    </font>
    <font>
      <sz val="11"/>
      <color theme="0" tint="-0.34998626667073579"/>
      <name val="Calibri"/>
      <family val="2"/>
      <scheme val="minor"/>
    </font>
    <font>
      <b/>
      <i/>
      <sz val="18"/>
      <color rgb="FFFFC000"/>
      <name val="Ahoni"/>
    </font>
    <font>
      <b/>
      <sz val="18"/>
      <color rgb="FF0000FF"/>
      <name val="Calibri"/>
      <family val="2"/>
      <scheme val="minor"/>
    </font>
    <font>
      <b/>
      <sz val="20"/>
      <color rgb="FF0000FF"/>
      <name val="Calibri"/>
      <family val="2"/>
      <scheme val="minor"/>
    </font>
    <font>
      <sz val="14"/>
      <color theme="0"/>
      <name val="Arial"/>
      <family val="2"/>
    </font>
    <font>
      <i/>
      <u/>
      <sz val="12"/>
      <color theme="0"/>
      <name val="Calibri"/>
      <family val="2"/>
      <scheme val="minor"/>
    </font>
    <font>
      <i/>
      <sz val="11.5"/>
      <color theme="0"/>
      <name val="Calibri"/>
      <family val="2"/>
      <scheme val="minor"/>
    </font>
    <font>
      <sz val="10"/>
      <color theme="0" tint="-0.249977111117893"/>
      <name val="Calibri"/>
      <family val="2"/>
      <scheme val="minor"/>
    </font>
    <font>
      <sz val="11.5"/>
      <name val="Calibri"/>
      <family val="2"/>
      <scheme val="minor"/>
    </font>
    <font>
      <b/>
      <sz val="11"/>
      <color rgb="FF3E4C59"/>
      <name val="Arial"/>
      <family val="2"/>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93300"/>
        <bgColor indexed="64"/>
      </patternFill>
    </fill>
    <fill>
      <patternFill patternType="solid">
        <fgColor rgb="FFFFFFCC"/>
        <bgColor indexed="64"/>
      </patternFill>
    </fill>
    <fill>
      <patternFill patternType="solid">
        <fgColor rgb="FFFFFFFF"/>
        <bgColor indexed="64"/>
      </patternFill>
    </fill>
    <fill>
      <patternFill patternType="solid">
        <fgColor theme="1" tint="0.249977111117893"/>
        <bgColor indexed="64"/>
      </patternFill>
    </fill>
    <fill>
      <patternFill patternType="solid">
        <fgColor theme="2" tint="-0.749992370372631"/>
        <bgColor indexed="64"/>
      </patternFill>
    </fill>
    <fill>
      <patternFill patternType="solid">
        <fgColor rgb="FFD8482A"/>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s>
  <borders count="15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0" tint="-0.499984740745262"/>
      </right>
      <top/>
      <bottom/>
      <diagonal/>
    </border>
    <border>
      <left/>
      <right/>
      <top/>
      <bottom style="thin">
        <color theme="0"/>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right/>
      <top/>
      <bottom style="thin">
        <color theme="0" tint="-0.249977111117893"/>
      </bottom>
      <diagonal/>
    </border>
    <border>
      <left/>
      <right/>
      <top style="thin">
        <color theme="0" tint="-0.249977111117893"/>
      </top>
      <bottom style="thin">
        <color theme="0" tint="-0.249977111117893"/>
      </bottom>
      <diagonal/>
    </border>
    <border>
      <left/>
      <right style="thin">
        <color theme="0" tint="-0.499984740745262"/>
      </right>
      <top/>
      <bottom style="medium">
        <color theme="0"/>
      </bottom>
      <diagonal/>
    </border>
    <border>
      <left/>
      <right/>
      <top/>
      <bottom style="thin">
        <color theme="0" tint="-0.34998626667073579"/>
      </bottom>
      <diagonal/>
    </border>
    <border>
      <left style="medium">
        <color theme="0"/>
      </left>
      <right/>
      <top/>
      <bottom style="thin">
        <color theme="0"/>
      </bottom>
      <diagonal/>
    </border>
    <border>
      <left/>
      <right style="medium">
        <color theme="0"/>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right style="thin">
        <color theme="0" tint="-0.34998626667073579"/>
      </right>
      <top/>
      <bottom/>
      <diagonal/>
    </border>
    <border>
      <left style="thin">
        <color theme="0" tint="-0.34998626667073579"/>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double">
        <color theme="0" tint="-0.499984740745262"/>
      </right>
      <top/>
      <bottom style="double">
        <color theme="0" tint="-0.499984740745262"/>
      </bottom>
      <diagonal/>
    </border>
    <border>
      <left/>
      <right/>
      <top style="double">
        <color theme="0" tint="-0.499984740745262"/>
      </top>
      <bottom/>
      <diagonal/>
    </border>
    <border>
      <left/>
      <right style="double">
        <color theme="0" tint="-0.499984740745262"/>
      </right>
      <top style="thin">
        <color theme="0"/>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bottom style="medium">
        <color rgb="FFE2E5E7"/>
      </bottom>
      <diagonal/>
    </border>
    <border>
      <left/>
      <right/>
      <top/>
      <bottom style="thick">
        <color rgb="FFEBCF32"/>
      </bottom>
      <diagonal/>
    </border>
    <border>
      <left/>
      <right/>
      <top style="thick">
        <color rgb="FFEBCF32"/>
      </top>
      <bottom/>
      <diagonal/>
    </border>
    <border>
      <left style="thin">
        <color theme="0" tint="-0.499984740745262"/>
      </left>
      <right style="double">
        <color theme="0" tint="-0.34998626667073579"/>
      </right>
      <top style="thin">
        <color theme="0" tint="-0.499984740745262"/>
      </top>
      <bottom style="double">
        <color theme="0" tint="-0.34998626667073579"/>
      </bottom>
      <diagonal/>
    </border>
    <border>
      <left style="thin">
        <color theme="0" tint="-0.499984740745262"/>
      </left>
      <right style="double">
        <color theme="0" tint="-0.34998626667073579"/>
      </right>
      <top style="thin">
        <color theme="0" tint="-0.499984740745262"/>
      </top>
      <bottom style="thin">
        <color theme="0" tint="-0.499984740745262"/>
      </bottom>
      <diagonal/>
    </border>
    <border>
      <left style="thin">
        <color theme="0" tint="-0.499984740745262"/>
      </left>
      <right style="double">
        <color theme="0" tint="-0.249977111117893"/>
      </right>
      <top style="thin">
        <color theme="0" tint="-0.499984740745262"/>
      </top>
      <bottom style="double">
        <color theme="0" tint="-0.249977111117893"/>
      </bottom>
      <diagonal/>
    </border>
    <border>
      <left style="thin">
        <color theme="0" tint="-0.499984740745262"/>
      </left>
      <right style="double">
        <color theme="0" tint="-0.249977111117893"/>
      </right>
      <top style="thin">
        <color theme="0" tint="-0.499984740745262"/>
      </top>
      <bottom style="thin">
        <color theme="0" tint="-0.499984740745262"/>
      </bottom>
      <diagonal/>
    </border>
    <border>
      <left/>
      <right style="double">
        <color theme="0" tint="-0.249977111117893"/>
      </right>
      <top/>
      <bottom style="thin">
        <color theme="0" tint="-0.249977111117893"/>
      </bottom>
      <diagonal/>
    </border>
    <border>
      <left/>
      <right style="double">
        <color theme="0" tint="-0.249977111117893"/>
      </right>
      <top style="thin">
        <color theme="0" tint="-0.249977111117893"/>
      </top>
      <bottom style="double">
        <color theme="0" tint="-0.249977111117893"/>
      </bottom>
      <diagonal/>
    </border>
    <border>
      <left style="thin">
        <color theme="0" tint="-0.249977111117893"/>
      </left>
      <right/>
      <top style="thin">
        <color theme="0" tint="-0.249977111117893"/>
      </top>
      <bottom/>
      <diagonal/>
    </border>
    <border>
      <left style="thin">
        <color theme="0" tint="-0.249977111117893"/>
      </left>
      <right/>
      <top/>
      <bottom/>
      <diagonal/>
    </border>
    <border>
      <left style="thin">
        <color theme="0" tint="-0.249977111117893"/>
      </left>
      <right/>
      <top/>
      <bottom style="double">
        <color theme="0" tint="-0.249977111117893"/>
      </bottom>
      <diagonal/>
    </border>
    <border>
      <left/>
      <right style="double">
        <color theme="0" tint="-0.249977111117893"/>
      </right>
      <top style="thin">
        <color theme="0" tint="-0.249977111117893"/>
      </top>
      <bottom/>
      <diagonal/>
    </border>
    <border>
      <left/>
      <right style="double">
        <color theme="0" tint="-0.249977111117893"/>
      </right>
      <top/>
      <bottom/>
      <diagonal/>
    </border>
    <border>
      <left/>
      <right style="double">
        <color theme="0" tint="-0.249977111117893"/>
      </right>
      <top/>
      <bottom style="double">
        <color theme="0" tint="-0.249977111117893"/>
      </bottom>
      <diagonal/>
    </border>
    <border>
      <left style="double">
        <color theme="0" tint="-0.249977111117893"/>
      </left>
      <right/>
      <top style="double">
        <color theme="0" tint="-0.249977111117893"/>
      </top>
      <bottom style="double">
        <color theme="0" tint="-0.249977111117893"/>
      </bottom>
      <diagonal/>
    </border>
    <border>
      <left/>
      <right style="double">
        <color theme="0" tint="-0.249977111117893"/>
      </right>
      <top style="double">
        <color theme="0" tint="-0.249977111117893"/>
      </top>
      <bottom style="double">
        <color theme="0" tint="-0.249977111117893"/>
      </bottom>
      <diagonal/>
    </border>
    <border>
      <left style="double">
        <color theme="0" tint="-0.249977111117893"/>
      </left>
      <right/>
      <top/>
      <bottom/>
      <diagonal/>
    </border>
    <border>
      <left style="double">
        <color theme="0" tint="-0.249977111117893"/>
      </left>
      <right/>
      <top/>
      <bottom style="double">
        <color theme="0" tint="-0.249977111117893"/>
      </bottom>
      <diagonal/>
    </border>
    <border>
      <left/>
      <right style="thick">
        <color theme="0"/>
      </right>
      <top/>
      <bottom/>
      <diagonal/>
    </border>
    <border>
      <left/>
      <right/>
      <top style="thin">
        <color theme="0" tint="-0.249977111117893"/>
      </top>
      <bottom/>
      <diagonal/>
    </border>
    <border>
      <left/>
      <right/>
      <top/>
      <bottom style="medium">
        <color indexed="64"/>
      </bottom>
      <diagonal/>
    </border>
    <border>
      <left style="double">
        <color theme="0" tint="-0.249977111117893"/>
      </left>
      <right/>
      <top/>
      <bottom style="thin">
        <color theme="0" tint="-0.499984740745262"/>
      </bottom>
      <diagonal/>
    </border>
    <border>
      <left/>
      <right style="double">
        <color theme="0" tint="-0.249977111117893"/>
      </right>
      <top/>
      <bottom style="thin">
        <color theme="0" tint="-0.499984740745262"/>
      </bottom>
      <diagonal/>
    </border>
    <border>
      <left style="thin">
        <color rgb="FFEBCF32"/>
      </left>
      <right/>
      <top style="thin">
        <color rgb="FFEBCF32"/>
      </top>
      <bottom/>
      <diagonal/>
    </border>
    <border>
      <left/>
      <right/>
      <top style="thin">
        <color rgb="FFEBCF32"/>
      </top>
      <bottom/>
      <diagonal/>
    </border>
    <border>
      <left/>
      <right style="thin">
        <color rgb="FFEBCF32"/>
      </right>
      <top style="thin">
        <color rgb="FFEBCF32"/>
      </top>
      <bottom/>
      <diagonal/>
    </border>
    <border>
      <left style="thin">
        <color rgb="FFEBCF32"/>
      </left>
      <right/>
      <top/>
      <bottom/>
      <diagonal/>
    </border>
    <border>
      <left/>
      <right style="thin">
        <color rgb="FFEBCF32"/>
      </right>
      <top/>
      <bottom/>
      <diagonal/>
    </border>
    <border>
      <left style="thin">
        <color rgb="FFEBCF32"/>
      </left>
      <right/>
      <top/>
      <bottom style="thin">
        <color rgb="FFEBCF32"/>
      </bottom>
      <diagonal/>
    </border>
    <border>
      <left/>
      <right/>
      <top/>
      <bottom style="thin">
        <color rgb="FFEBCF32"/>
      </bottom>
      <diagonal/>
    </border>
    <border>
      <left/>
      <right style="thin">
        <color rgb="FFEBCF32"/>
      </right>
      <top/>
      <bottom style="thin">
        <color rgb="FFEBCF32"/>
      </bottom>
      <diagonal/>
    </border>
    <border>
      <left/>
      <right/>
      <top/>
      <bottom style="medium">
        <color theme="0" tint="-0.499984740745262"/>
      </bottom>
      <diagonal/>
    </border>
    <border>
      <left/>
      <right/>
      <top/>
      <bottom style="medium">
        <color rgb="FFEBCF32"/>
      </bottom>
      <diagonal/>
    </border>
    <border>
      <left/>
      <right/>
      <top/>
      <bottom style="thin">
        <color theme="0" tint="-0.499984740745262"/>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rgb="FF993300"/>
      </bottom>
      <diagonal/>
    </border>
    <border>
      <left style="thin">
        <color theme="0"/>
      </left>
      <right style="thin">
        <color theme="0" tint="-0.249977111117893"/>
      </right>
      <top/>
      <bottom style="thin">
        <color theme="0"/>
      </bottom>
      <diagonal/>
    </border>
    <border>
      <left style="thin">
        <color theme="0"/>
      </left>
      <right style="thin">
        <color theme="0" tint="-0.249977111117893"/>
      </right>
      <top/>
      <bottom style="thin">
        <color theme="0" tint="-0.249977111117893"/>
      </bottom>
      <diagonal/>
    </border>
    <border>
      <left/>
      <right style="thin">
        <color theme="0"/>
      </right>
      <top style="thin">
        <color theme="0" tint="-0.249977111117893"/>
      </top>
      <bottom style="thin">
        <color theme="0" tint="-0.249977111117893"/>
      </bottom>
      <diagonal/>
    </border>
    <border>
      <left/>
      <right style="thin">
        <color theme="0"/>
      </right>
      <top/>
      <bottom style="thin">
        <color theme="0" tint="-0.249977111117893"/>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thin">
        <color theme="0"/>
      </left>
      <right/>
      <top/>
      <bottom style="thin">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34998626667073579"/>
      </right>
      <top style="thin">
        <color theme="0" tint="-0.249977111117893"/>
      </top>
      <bottom style="thin">
        <color theme="0" tint="-0.249977111117893"/>
      </bottom>
      <diagonal/>
    </border>
    <border>
      <left/>
      <right/>
      <top style="double">
        <color theme="0" tint="-0.249977111117893"/>
      </top>
      <bottom/>
      <diagonal/>
    </border>
    <border>
      <left style="thin">
        <color theme="0" tint="-0.499984740745262"/>
      </left>
      <right style="thin">
        <color theme="0" tint="-0.34998626667073579"/>
      </right>
      <top style="thin">
        <color theme="0" tint="-0.499984740745262"/>
      </top>
      <bottom style="double">
        <color theme="0" tint="-0.34998626667073579"/>
      </bottom>
      <diagonal/>
    </border>
    <border>
      <left style="double">
        <color theme="0" tint="-0.34998626667073579"/>
      </left>
      <right/>
      <top/>
      <bottom/>
      <diagonal/>
    </border>
    <border>
      <left/>
      <right style="medium">
        <color theme="0" tint="-4.9989318521683403E-2"/>
      </right>
      <top/>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bottom/>
      <diagonal/>
    </border>
    <border>
      <left/>
      <right style="thin">
        <color theme="0" tint="-0.14999847407452621"/>
      </right>
      <top/>
      <bottom/>
      <diagonal/>
    </border>
    <border>
      <left/>
      <right style="thin">
        <color theme="1" tint="0.34998626667073579"/>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diagonal/>
    </border>
    <border>
      <left/>
      <right/>
      <top/>
      <bottom style="thin">
        <color theme="1" tint="0.34998626667073579"/>
      </bottom>
      <diagonal/>
    </border>
    <border>
      <left style="thin">
        <color indexed="64"/>
      </left>
      <right/>
      <top style="thin">
        <color indexed="64"/>
      </top>
      <bottom style="thin">
        <color theme="1" tint="0.34998626667073579"/>
      </bottom>
      <diagonal/>
    </border>
    <border>
      <left/>
      <right/>
      <top style="thin">
        <color indexed="64"/>
      </top>
      <bottom style="thin">
        <color theme="1" tint="0.34998626667073579"/>
      </bottom>
      <diagonal/>
    </border>
    <border>
      <left/>
      <right style="thin">
        <color indexed="64"/>
      </right>
      <top style="thin">
        <color indexed="64"/>
      </top>
      <bottom style="thin">
        <color theme="1" tint="0.34998626667073579"/>
      </bottom>
      <diagonal/>
    </border>
    <border>
      <left style="double">
        <color theme="0" tint="-0.249977111117893"/>
      </left>
      <right/>
      <top style="double">
        <color theme="0" tint="-0.249977111117893"/>
      </top>
      <bottom/>
      <diagonal/>
    </border>
    <border>
      <left/>
      <right style="double">
        <color theme="0" tint="-0.249977111117893"/>
      </right>
      <top style="double">
        <color theme="0" tint="-0.249977111117893"/>
      </top>
      <bottom/>
      <diagonal/>
    </border>
    <border>
      <left/>
      <right style="thin">
        <color theme="1" tint="0.34998626667073579"/>
      </right>
      <top style="thin">
        <color theme="1" tint="0.34998626667073579"/>
      </top>
      <bottom style="double">
        <color theme="0" tint="-0.249977111117893"/>
      </bottom>
      <diagonal/>
    </border>
    <border>
      <left style="thin">
        <color theme="1" tint="0.34998626667073579"/>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top style="thin">
        <color theme="1" tint="0.34998626667073579"/>
      </top>
      <bottom/>
      <diagonal/>
    </border>
    <border>
      <left/>
      <right style="thin">
        <color theme="1" tint="0.34998626667073579"/>
      </right>
      <top style="thin">
        <color theme="1" tint="0.34998626667073579"/>
      </top>
      <bottom/>
      <diagonal/>
    </border>
    <border>
      <left/>
      <right style="thin">
        <color theme="1" tint="0.34998626667073579"/>
      </right>
      <top/>
      <bottom style="double">
        <color theme="0" tint="-0.249977111117893"/>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top style="thin">
        <color theme="1" tint="0.34998626667073579"/>
      </top>
      <bottom/>
      <diagonal/>
    </border>
    <border>
      <left style="thin">
        <color theme="1" tint="0.34998626667073579"/>
      </left>
      <right style="thin">
        <color theme="1" tint="0.34998626667073579"/>
      </right>
      <top/>
      <bottom/>
      <diagonal/>
    </border>
    <border>
      <left style="thin">
        <color theme="1" tint="0.34998626667073579"/>
      </left>
      <right style="thin">
        <color theme="1" tint="0.34998626667073579"/>
      </right>
      <top style="thin">
        <color theme="1" tint="0.34998626667073579"/>
      </top>
      <bottom style="thin">
        <color indexed="64"/>
      </bottom>
      <diagonal/>
    </border>
    <border>
      <left style="thin">
        <color theme="1" tint="0.34998626667073579"/>
      </left>
      <right style="thin">
        <color theme="1" tint="0.34998626667073579"/>
      </right>
      <top style="thin">
        <color indexed="64"/>
      </top>
      <bottom style="thin">
        <color indexed="64"/>
      </bottom>
      <diagonal/>
    </border>
    <border>
      <left style="thin">
        <color theme="1" tint="0.34998626667073579"/>
      </left>
      <right style="thin">
        <color theme="1" tint="0.34998626667073579"/>
      </right>
      <top style="thin">
        <color indexed="64"/>
      </top>
      <bottom style="thin">
        <color theme="1" tint="0.34998626667073579"/>
      </bottom>
      <diagonal/>
    </border>
    <border>
      <left/>
      <right style="thin">
        <color indexed="64"/>
      </right>
      <top/>
      <bottom style="medium">
        <color theme="0" tint="-0.499984740745262"/>
      </bottom>
      <diagonal/>
    </border>
    <border>
      <left/>
      <right style="thin">
        <color theme="0" tint="-0.34998626667073579"/>
      </right>
      <top style="thick">
        <color rgb="FFEBCF3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style="medium">
        <color theme="0"/>
      </right>
      <top style="thick">
        <color rgb="FFEBCF32"/>
      </top>
      <bottom/>
      <diagonal/>
    </border>
    <border>
      <left/>
      <right style="medium">
        <color theme="0"/>
      </right>
      <top/>
      <bottom style="thick">
        <color rgb="FFEBCF32"/>
      </bottom>
      <diagonal/>
    </border>
    <border>
      <left/>
      <right style="double">
        <color theme="0" tint="-0.249977111117893"/>
      </right>
      <top/>
      <bottom style="thin">
        <color theme="0" tint="-0.14999847407452621"/>
      </bottom>
      <diagonal/>
    </border>
    <border>
      <left/>
      <right/>
      <top/>
      <bottom style="thin">
        <color theme="0" tint="-0.14999847407452621"/>
      </bottom>
      <diagonal/>
    </border>
    <border>
      <left style="medium">
        <color theme="0"/>
      </left>
      <right/>
      <top style="thick">
        <color rgb="FFEBCF32"/>
      </top>
      <bottom/>
      <diagonal/>
    </border>
    <border>
      <left style="thin">
        <color theme="0" tint="-0.34998626667073579"/>
      </left>
      <right/>
      <top/>
      <bottom style="thin">
        <color theme="0" tint="-0.34998626667073579"/>
      </bottom>
      <diagonal/>
    </border>
    <border>
      <left/>
      <right style="thin">
        <color theme="0" tint="-0.249977111117893"/>
      </right>
      <top style="thick">
        <color rgb="FFEBCF32"/>
      </top>
      <bottom/>
      <diagonal/>
    </border>
    <border>
      <left/>
      <right style="thin">
        <color theme="0" tint="-0.249977111117893"/>
      </right>
      <top/>
      <bottom/>
      <diagonal/>
    </border>
    <border>
      <left style="thin">
        <color theme="0" tint="-0.34998626667073579"/>
      </left>
      <right/>
      <top/>
      <bottom style="thin">
        <color theme="0" tint="-0.249977111117893"/>
      </bottom>
      <diagonal/>
    </border>
    <border>
      <left style="thin">
        <color theme="0" tint="-0.249977111117893"/>
      </left>
      <right/>
      <top/>
      <bottom style="thin">
        <color theme="0" tint="-0.249977111117893"/>
      </bottom>
      <diagonal/>
    </border>
    <border>
      <left style="thin">
        <color theme="0" tint="-0.499984740745262"/>
      </left>
      <right style="thin">
        <color theme="0" tint="-0.34998626667073579"/>
      </right>
      <top style="thin">
        <color theme="0" tint="-0.499984740745262"/>
      </top>
      <bottom/>
      <diagonal/>
    </border>
    <border>
      <left style="thin">
        <color indexed="64"/>
      </left>
      <right/>
      <top/>
      <bottom style="thin">
        <color theme="0" tint="-0.34998626667073579"/>
      </bottom>
      <diagonal/>
    </border>
    <border>
      <left/>
      <right style="thin">
        <color indexed="64"/>
      </right>
      <top/>
      <bottom style="thin">
        <color theme="0" tint="-0.34998626667073579"/>
      </bottom>
      <diagonal/>
    </border>
    <border>
      <left/>
      <right/>
      <top/>
      <bottom style="thin">
        <color theme="1"/>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diagonal/>
    </border>
    <border>
      <left style="thin">
        <color theme="1"/>
      </left>
      <right/>
      <top/>
      <bottom style="thin">
        <color theme="1"/>
      </bottom>
      <diagonal/>
    </border>
  </borders>
  <cellStyleXfs count="5">
    <xf numFmtId="0" fontId="0" fillId="0" borderId="0"/>
    <xf numFmtId="0" fontId="3" fillId="0" borderId="0" applyNumberFormat="0" applyFill="0" applyBorder="0" applyAlignment="0" applyProtection="0"/>
    <xf numFmtId="0" fontId="26" fillId="0" borderId="0"/>
    <xf numFmtId="0" fontId="73" fillId="0" borderId="0"/>
    <xf numFmtId="9" fontId="189" fillId="0" borderId="0" applyFont="0" applyFill="0" applyBorder="0" applyAlignment="0" applyProtection="0"/>
  </cellStyleXfs>
  <cellXfs count="2175">
    <xf numFmtId="0" fontId="0" fillId="0" borderId="0" xfId="0"/>
    <xf numFmtId="0" fontId="0" fillId="0" borderId="0" xfId="0" applyAlignment="1">
      <alignment horizontal="right"/>
    </xf>
    <xf numFmtId="0" fontId="0" fillId="2" borderId="5" xfId="0" applyFill="1" applyBorder="1"/>
    <xf numFmtId="0" fontId="0" fillId="2" borderId="7" xfId="0" applyFill="1" applyBorder="1"/>
    <xf numFmtId="0" fontId="0" fillId="2" borderId="6" xfId="0" applyFill="1" applyBorder="1"/>
    <xf numFmtId="0" fontId="0" fillId="2" borderId="0" xfId="0" applyFill="1"/>
    <xf numFmtId="0" fontId="0" fillId="2" borderId="4" xfId="0" applyFill="1" applyBorder="1"/>
    <xf numFmtId="0" fontId="0" fillId="2" borderId="3" xfId="0" applyFill="1" applyBorder="1"/>
    <xf numFmtId="0" fontId="0" fillId="2" borderId="1" xfId="0" applyFill="1" applyBorder="1"/>
    <xf numFmtId="0" fontId="0" fillId="2" borderId="8" xfId="0" applyFill="1" applyBorder="1"/>
    <xf numFmtId="0" fontId="0" fillId="2" borderId="2" xfId="0" applyFill="1" applyBorder="1"/>
    <xf numFmtId="0" fontId="0" fillId="2" borderId="0" xfId="0" applyFill="1" applyAlignment="1">
      <alignment horizontal="right"/>
    </xf>
    <xf numFmtId="0" fontId="2" fillId="2" borderId="7" xfId="0" applyFont="1" applyFill="1" applyBorder="1"/>
    <xf numFmtId="0" fontId="10" fillId="2" borderId="0" xfId="0" applyFont="1" applyFill="1" applyAlignment="1">
      <alignment vertical="center"/>
    </xf>
    <xf numFmtId="0" fontId="4" fillId="2" borderId="0" xfId="0" applyFont="1" applyFill="1"/>
    <xf numFmtId="0" fontId="6" fillId="2" borderId="0" xfId="1" applyFont="1" applyFill="1" applyBorder="1"/>
    <xf numFmtId="0" fontId="0" fillId="0" borderId="0" xfId="0" applyAlignment="1">
      <alignment horizontal="center" vertical="top"/>
    </xf>
    <xf numFmtId="0" fontId="0" fillId="0" borderId="0" xfId="0" applyAlignment="1">
      <alignment wrapText="1"/>
    </xf>
    <xf numFmtId="0" fontId="0" fillId="0" borderId="0" xfId="0" applyAlignment="1">
      <alignment horizontal="center"/>
    </xf>
    <xf numFmtId="0" fontId="6" fillId="0" borderId="0" xfId="1" applyFont="1" applyAlignment="1">
      <alignment wrapText="1"/>
    </xf>
    <xf numFmtId="0" fontId="0" fillId="2" borderId="0" xfId="0" applyFill="1" applyAlignment="1">
      <alignment horizontal="center" vertical="top"/>
    </xf>
    <xf numFmtId="0" fontId="0" fillId="2" borderId="0" xfId="0" applyFill="1" applyAlignment="1">
      <alignment wrapText="1"/>
    </xf>
    <xf numFmtId="0" fontId="0" fillId="3" borderId="0" xfId="0" applyFill="1"/>
    <xf numFmtId="0" fontId="6" fillId="2" borderId="0" xfId="1" applyFont="1" applyFill="1" applyAlignment="1">
      <alignment horizontal="left" wrapText="1"/>
    </xf>
    <xf numFmtId="0" fontId="13" fillId="0" borderId="0" xfId="0" applyFont="1" applyAlignment="1">
      <alignment horizontal="left" vertical="center" wrapText="1"/>
    </xf>
    <xf numFmtId="0" fontId="0" fillId="2" borderId="8" xfId="0" applyFill="1" applyBorder="1" applyAlignment="1">
      <alignment horizontal="right"/>
    </xf>
    <xf numFmtId="0" fontId="0" fillId="2" borderId="7" xfId="0" applyFill="1" applyBorder="1" applyAlignment="1">
      <alignment horizontal="right"/>
    </xf>
    <xf numFmtId="0" fontId="0" fillId="2" borderId="0" xfId="0" applyFill="1" applyAlignment="1">
      <alignment horizontal="left"/>
    </xf>
    <xf numFmtId="0" fontId="2" fillId="2" borderId="8" xfId="0" applyFont="1" applyFill="1" applyBorder="1"/>
    <xf numFmtId="0" fontId="16" fillId="2" borderId="0" xfId="0" applyFont="1" applyFill="1" applyAlignment="1">
      <alignment vertical="center"/>
    </xf>
    <xf numFmtId="0" fontId="14" fillId="2" borderId="0" xfId="0" applyFont="1" applyFill="1"/>
    <xf numFmtId="0" fontId="18" fillId="2" borderId="0" xfId="0" applyFont="1" applyFill="1"/>
    <xf numFmtId="0" fontId="17" fillId="2" borderId="0" xfId="0" applyFont="1" applyFill="1"/>
    <xf numFmtId="0" fontId="15" fillId="2" borderId="0" xfId="0" applyFont="1" applyFill="1"/>
    <xf numFmtId="0" fontId="19" fillId="2" borderId="0" xfId="0" applyFont="1" applyFill="1"/>
    <xf numFmtId="0" fontId="20" fillId="2" borderId="0" xfId="0" applyFont="1" applyFill="1"/>
    <xf numFmtId="0" fontId="21" fillId="2" borderId="0" xfId="0" applyFont="1" applyFill="1"/>
    <xf numFmtId="0" fontId="0" fillId="0" borderId="0" xfId="0" applyAlignment="1">
      <alignment vertical="center"/>
    </xf>
    <xf numFmtId="0" fontId="9" fillId="0" borderId="0" xfId="0" applyFont="1"/>
    <xf numFmtId="0" fontId="0" fillId="4" borderId="2" xfId="0" applyFill="1" applyBorder="1" applyAlignment="1">
      <alignment horizontal="right"/>
    </xf>
    <xf numFmtId="0" fontId="0" fillId="4" borderId="6" xfId="0" applyFill="1" applyBorder="1" applyAlignment="1">
      <alignment horizontal="right"/>
    </xf>
    <xf numFmtId="0" fontId="23" fillId="4" borderId="1" xfId="0" applyFont="1" applyFill="1" applyBorder="1" applyAlignment="1">
      <alignment horizontal="left" indent="1"/>
    </xf>
    <xf numFmtId="0" fontId="23" fillId="4" borderId="5" xfId="0" applyFont="1" applyFill="1" applyBorder="1" applyAlignment="1">
      <alignment horizontal="left" vertical="top" indent="1"/>
    </xf>
    <xf numFmtId="0" fontId="2" fillId="0" borderId="9" xfId="0" applyFont="1" applyBorder="1"/>
    <xf numFmtId="0" fontId="0" fillId="0" borderId="3" xfId="0" applyBorder="1"/>
    <xf numFmtId="0" fontId="0" fillId="0" borderId="4" xfId="0" applyBorder="1"/>
    <xf numFmtId="0" fontId="0" fillId="0" borderId="13" xfId="0" applyBorder="1"/>
    <xf numFmtId="0" fontId="0" fillId="0" borderId="5" xfId="0" applyBorder="1"/>
    <xf numFmtId="0" fontId="0" fillId="0" borderId="6" xfId="0" applyBorder="1"/>
    <xf numFmtId="0" fontId="0" fillId="0" borderId="2" xfId="0" applyBorder="1"/>
    <xf numFmtId="0" fontId="2" fillId="0" borderId="14" xfId="0" applyFont="1" applyBorder="1"/>
    <xf numFmtId="0" fontId="0" fillId="0" borderId="3" xfId="0" applyBorder="1" applyAlignment="1">
      <alignment vertical="center"/>
    </xf>
    <xf numFmtId="0" fontId="0" fillId="0" borderId="4" xfId="0" applyBorder="1" applyAlignment="1">
      <alignment vertical="center"/>
    </xf>
    <xf numFmtId="0" fontId="2" fillId="0" borderId="11" xfId="0" applyFont="1" applyBorder="1"/>
    <xf numFmtId="0" fontId="0" fillId="0" borderId="12" xfId="0" applyBorder="1" applyAlignment="1">
      <alignment vertical="center"/>
    </xf>
    <xf numFmtId="0" fontId="0" fillId="0" borderId="16" xfId="0" applyBorder="1"/>
    <xf numFmtId="0" fontId="0" fillId="0" borderId="12" xfId="0" applyBorder="1"/>
    <xf numFmtId="0" fontId="23" fillId="4" borderId="9" xfId="0" applyFont="1" applyFill="1" applyBorder="1" applyAlignment="1">
      <alignment horizontal="left" vertical="center" indent="1"/>
    </xf>
    <xf numFmtId="0" fontId="23" fillId="4" borderId="11" xfId="0" applyFont="1" applyFill="1" applyBorder="1" applyAlignment="1">
      <alignment horizontal="left" vertical="center" indent="1"/>
    </xf>
    <xf numFmtId="0" fontId="2" fillId="3" borderId="1" xfId="0" applyFont="1" applyFill="1" applyBorder="1"/>
    <xf numFmtId="0" fontId="2" fillId="3" borderId="8" xfId="0" applyFont="1" applyFill="1" applyBorder="1"/>
    <xf numFmtId="0" fontId="2" fillId="3" borderId="16" xfId="0" applyFont="1" applyFill="1" applyBorder="1"/>
    <xf numFmtId="0" fontId="2" fillId="3" borderId="6" xfId="0" applyFont="1" applyFill="1" applyBorder="1"/>
    <xf numFmtId="0" fontId="2" fillId="5" borderId="1" xfId="0" applyFont="1" applyFill="1" applyBorder="1"/>
    <xf numFmtId="0" fontId="2" fillId="5" borderId="8" xfId="0" applyFont="1" applyFill="1" applyBorder="1"/>
    <xf numFmtId="0" fontId="2" fillId="5" borderId="5" xfId="0" applyFont="1" applyFill="1" applyBorder="1"/>
    <xf numFmtId="0" fontId="2" fillId="5" borderId="7" xfId="0" applyFont="1" applyFill="1" applyBorder="1"/>
    <xf numFmtId="0" fontId="0" fillId="0" borderId="0" xfId="0" applyAlignment="1">
      <alignment horizontal="left"/>
    </xf>
    <xf numFmtId="0" fontId="0" fillId="3" borderId="3" xfId="0" applyFill="1" applyBorder="1"/>
    <xf numFmtId="0" fontId="0" fillId="3" borderId="12" xfId="0" applyFill="1" applyBorder="1"/>
    <xf numFmtId="0" fontId="0" fillId="3" borderId="4" xfId="0" applyFill="1" applyBorder="1"/>
    <xf numFmtId="0" fontId="4" fillId="3" borderId="3" xfId="0" applyFont="1" applyFill="1" applyBorder="1"/>
    <xf numFmtId="0" fontId="2" fillId="0" borderId="1" xfId="0" applyFont="1" applyBorder="1" applyAlignment="1">
      <alignment horizontal="left"/>
    </xf>
    <xf numFmtId="0" fontId="2" fillId="0" borderId="8" xfId="0" applyFont="1" applyBorder="1" applyAlignment="1">
      <alignment horizontal="left"/>
    </xf>
    <xf numFmtId="0" fontId="0" fillId="0" borderId="8" xfId="0" applyBorder="1"/>
    <xf numFmtId="0" fontId="2" fillId="3" borderId="3" xfId="0" applyFont="1" applyFill="1" applyBorder="1" applyAlignment="1">
      <alignment horizontal="left"/>
    </xf>
    <xf numFmtId="0" fontId="8" fillId="3" borderId="0" xfId="0" applyFont="1" applyFill="1" applyAlignment="1">
      <alignment horizontal="left"/>
    </xf>
    <xf numFmtId="0" fontId="0" fillId="3" borderId="0" xfId="0" applyFill="1" applyAlignment="1">
      <alignment horizontal="left"/>
    </xf>
    <xf numFmtId="0" fontId="0" fillId="0" borderId="3" xfId="0" applyBorder="1" applyAlignment="1">
      <alignment horizontal="left"/>
    </xf>
    <xf numFmtId="0" fontId="0" fillId="3" borderId="3" xfId="0" applyFill="1" applyBorder="1" applyAlignment="1">
      <alignment horizontal="left"/>
    </xf>
    <xf numFmtId="0" fontId="0" fillId="0" borderId="5" xfId="0" applyBorder="1" applyAlignment="1">
      <alignment horizontal="left"/>
    </xf>
    <xf numFmtId="0" fontId="0" fillId="0" borderId="7" xfId="0" applyBorder="1" applyAlignment="1">
      <alignment horizontal="left"/>
    </xf>
    <xf numFmtId="0" fontId="0" fillId="0" borderId="7" xfId="0" applyBorder="1"/>
    <xf numFmtId="0" fontId="7" fillId="0" borderId="7" xfId="0" applyFont="1" applyBorder="1" applyAlignment="1">
      <alignment wrapText="1"/>
    </xf>
    <xf numFmtId="0" fontId="0" fillId="0" borderId="7" xfId="0" applyBorder="1" applyAlignment="1">
      <alignment wrapText="1"/>
    </xf>
    <xf numFmtId="0" fontId="7" fillId="2" borderId="7" xfId="0" applyFont="1" applyFill="1" applyBorder="1" applyAlignment="1">
      <alignment wrapText="1"/>
    </xf>
    <xf numFmtId="0" fontId="0" fillId="2" borderId="7" xfId="0" applyFill="1" applyBorder="1" applyAlignment="1">
      <alignment wrapText="1"/>
    </xf>
    <xf numFmtId="0" fontId="0" fillId="2" borderId="0" xfId="0" applyFill="1" applyAlignment="1">
      <alignment horizontal="center"/>
    </xf>
    <xf numFmtId="0" fontId="34" fillId="0" borderId="0" xfId="0" applyFont="1"/>
    <xf numFmtId="0" fontId="0" fillId="6" borderId="0" xfId="0" applyFill="1"/>
    <xf numFmtId="0" fontId="0" fillId="6" borderId="0" xfId="0" applyFill="1" applyAlignment="1">
      <alignment horizontal="right"/>
    </xf>
    <xf numFmtId="0" fontId="33" fillId="6" borderId="0" xfId="0" applyFont="1" applyFill="1"/>
    <xf numFmtId="0" fontId="34" fillId="6" borderId="0" xfId="0" applyFont="1" applyFill="1"/>
    <xf numFmtId="0" fontId="0" fillId="6" borderId="0" xfId="0" applyFill="1" applyAlignment="1">
      <alignment horizontal="center"/>
    </xf>
    <xf numFmtId="0" fontId="0" fillId="6" borderId="0" xfId="0" applyFill="1" applyAlignment="1">
      <alignment horizontal="left" indent="1"/>
    </xf>
    <xf numFmtId="0" fontId="29" fillId="6" borderId="0" xfId="0" applyFont="1" applyFill="1" applyAlignment="1">
      <alignment horizontal="left" vertical="center"/>
    </xf>
    <xf numFmtId="0" fontId="0" fillId="6" borderId="0" xfId="0" applyFill="1" applyAlignment="1">
      <alignment vertical="center"/>
    </xf>
    <xf numFmtId="166" fontId="0" fillId="6" borderId="0" xfId="0" applyNumberFormat="1" applyFill="1" applyAlignment="1">
      <alignment horizontal="center"/>
    </xf>
    <xf numFmtId="0" fontId="28" fillId="6" borderId="0" xfId="0" applyFont="1" applyFill="1"/>
    <xf numFmtId="0" fontId="28" fillId="6" borderId="0" xfId="0" applyFont="1" applyFill="1" applyAlignment="1">
      <alignment horizontal="center" vertical="center"/>
    </xf>
    <xf numFmtId="0" fontId="37" fillId="6" borderId="0" xfId="0" applyFont="1" applyFill="1"/>
    <xf numFmtId="0" fontId="28" fillId="6" borderId="0" xfId="0" applyFont="1" applyFill="1" applyAlignment="1">
      <alignment horizontal="left" vertical="center" indent="2"/>
    </xf>
    <xf numFmtId="0" fontId="39" fillId="6" borderId="0" xfId="0" applyFont="1" applyFill="1"/>
    <xf numFmtId="0" fontId="32" fillId="6" borderId="0" xfId="0" applyFont="1" applyFill="1"/>
    <xf numFmtId="0" fontId="31" fillId="6" borderId="0" xfId="0" applyFont="1" applyFill="1"/>
    <xf numFmtId="0" fontId="32" fillId="0" borderId="0" xfId="0" applyFont="1"/>
    <xf numFmtId="0" fontId="31" fillId="6" borderId="19" xfId="0" applyFont="1" applyFill="1" applyBorder="1"/>
    <xf numFmtId="0" fontId="0" fillId="4" borderId="0" xfId="0" applyFill="1"/>
    <xf numFmtId="0" fontId="41" fillId="6" borderId="0" xfId="0" applyFont="1" applyFill="1"/>
    <xf numFmtId="3" fontId="31" fillId="6" borderId="0" xfId="0" applyNumberFormat="1" applyFont="1" applyFill="1"/>
    <xf numFmtId="0" fontId="31" fillId="6" borderId="0" xfId="0" applyFont="1" applyFill="1" applyAlignment="1">
      <alignment horizontal="left" indent="1"/>
    </xf>
    <xf numFmtId="0" fontId="38" fillId="6" borderId="0" xfId="0" applyFont="1" applyFill="1" applyAlignment="1">
      <alignment horizontal="left" indent="1"/>
    </xf>
    <xf numFmtId="0" fontId="31" fillId="6" borderId="0" xfId="0" applyFont="1" applyFill="1" applyAlignment="1">
      <alignment horizontal="left" vertical="center" indent="2"/>
    </xf>
    <xf numFmtId="0" fontId="31" fillId="6" borderId="0" xfId="0" applyFont="1" applyFill="1" applyAlignment="1">
      <alignment horizontal="left" indent="2"/>
    </xf>
    <xf numFmtId="0" fontId="31" fillId="6" borderId="0" xfId="0" applyFont="1" applyFill="1" applyAlignment="1">
      <alignment horizontal="center" vertical="center"/>
    </xf>
    <xf numFmtId="0" fontId="43" fillId="6" borderId="0" xfId="0" applyFont="1" applyFill="1" applyAlignment="1">
      <alignment horizontal="center" vertical="center"/>
    </xf>
    <xf numFmtId="0" fontId="39" fillId="6" borderId="0" xfId="0" applyFont="1" applyFill="1" applyAlignment="1">
      <alignment vertical="center"/>
    </xf>
    <xf numFmtId="0" fontId="48" fillId="6" borderId="0" xfId="0" applyFont="1" applyFill="1" applyAlignment="1">
      <alignment horizontal="left"/>
    </xf>
    <xf numFmtId="0" fontId="40" fillId="6" borderId="0" xfId="0" applyFont="1" applyFill="1"/>
    <xf numFmtId="0" fontId="31" fillId="6" borderId="0" xfId="0" applyFont="1" applyFill="1" applyAlignment="1">
      <alignment horizontal="center" vertical="top"/>
    </xf>
    <xf numFmtId="0" fontId="31" fillId="6" borderId="0" xfId="0" applyFont="1" applyFill="1" applyAlignment="1">
      <alignment horizontal="left" vertical="center" readingOrder="1"/>
    </xf>
    <xf numFmtId="0" fontId="40" fillId="6" borderId="0" xfId="0" applyFont="1" applyFill="1" applyAlignment="1">
      <alignment horizontal="left" vertical="top"/>
    </xf>
    <xf numFmtId="0" fontId="43" fillId="6" borderId="0" xfId="0" applyFont="1" applyFill="1" applyAlignment="1">
      <alignment horizontal="center"/>
    </xf>
    <xf numFmtId="0" fontId="49" fillId="6" borderId="0" xfId="0" applyFont="1" applyFill="1" applyAlignment="1">
      <alignment horizontal="center"/>
    </xf>
    <xf numFmtId="0" fontId="38" fillId="6" borderId="0" xfId="0" applyFont="1" applyFill="1" applyAlignment="1">
      <alignment horizontal="left" vertical="center" readingOrder="1"/>
    </xf>
    <xf numFmtId="1" fontId="0" fillId="6" borderId="0" xfId="0" applyNumberFormat="1" applyFill="1"/>
    <xf numFmtId="2" fontId="0" fillId="6" borderId="0" xfId="0" applyNumberFormat="1" applyFill="1" applyAlignment="1">
      <alignment horizontal="center"/>
    </xf>
    <xf numFmtId="9" fontId="0" fillId="6" borderId="0" xfId="0" applyNumberFormat="1" applyFill="1" applyAlignment="1">
      <alignment horizontal="center"/>
    </xf>
    <xf numFmtId="0" fontId="4" fillId="6" borderId="0" xfId="0" applyFont="1" applyFill="1"/>
    <xf numFmtId="9" fontId="4" fillId="6" borderId="0" xfId="0" applyNumberFormat="1" applyFont="1" applyFill="1" applyAlignment="1">
      <alignment horizontal="center"/>
    </xf>
    <xf numFmtId="9" fontId="28" fillId="6" borderId="0" xfId="0" applyNumberFormat="1" applyFont="1" applyFill="1" applyAlignment="1">
      <alignment horizontal="center"/>
    </xf>
    <xf numFmtId="0" fontId="7" fillId="6" borderId="0" xfId="0" applyFont="1" applyFill="1" applyAlignment="1">
      <alignment vertical="center"/>
    </xf>
    <xf numFmtId="0" fontId="28" fillId="6" borderId="0" xfId="0" applyFont="1" applyFill="1" applyAlignment="1">
      <alignment horizontal="left" vertical="center"/>
    </xf>
    <xf numFmtId="0" fontId="31" fillId="6" borderId="0" xfId="0" applyFont="1" applyFill="1" applyAlignment="1">
      <alignment wrapText="1"/>
    </xf>
    <xf numFmtId="0" fontId="28" fillId="6" borderId="0" xfId="0" applyFont="1" applyFill="1" applyAlignment="1">
      <alignment horizontal="left"/>
    </xf>
    <xf numFmtId="0" fontId="31" fillId="6" borderId="0" xfId="0" applyFont="1" applyFill="1" applyAlignment="1">
      <alignment horizontal="left"/>
    </xf>
    <xf numFmtId="0" fontId="0" fillId="3" borderId="2" xfId="0" applyFill="1" applyBorder="1" applyAlignment="1">
      <alignment horizontal="right"/>
    </xf>
    <xf numFmtId="0" fontId="0" fillId="3" borderId="6" xfId="0" applyFill="1" applyBorder="1" applyAlignment="1">
      <alignment horizontal="right"/>
    </xf>
    <xf numFmtId="0" fontId="0" fillId="6" borderId="0" xfId="0" applyFill="1" applyAlignment="1">
      <alignment horizontal="left" vertical="center"/>
    </xf>
    <xf numFmtId="0" fontId="34" fillId="6" borderId="0" xfId="0" applyFont="1" applyFill="1" applyAlignment="1">
      <alignment vertical="center"/>
    </xf>
    <xf numFmtId="1" fontId="34" fillId="0" borderId="0" xfId="0" applyNumberFormat="1" applyFont="1"/>
    <xf numFmtId="0" fontId="0" fillId="3" borderId="11" xfId="0" applyFill="1" applyBorder="1" applyAlignment="1">
      <alignment horizontal="right"/>
    </xf>
    <xf numFmtId="0" fontId="9" fillId="3" borderId="1" xfId="0" applyFont="1" applyFill="1" applyBorder="1" applyAlignment="1">
      <alignment horizontal="left" vertical="center" indent="1"/>
    </xf>
    <xf numFmtId="0" fontId="42" fillId="6" borderId="0" xfId="0" applyFont="1" applyFill="1" applyAlignment="1">
      <alignment horizontal="center"/>
    </xf>
    <xf numFmtId="0" fontId="28" fillId="6" borderId="0" xfId="0" applyFont="1" applyFill="1" applyAlignment="1">
      <alignment horizontal="left" indent="1"/>
    </xf>
    <xf numFmtId="1" fontId="28" fillId="6" borderId="0" xfId="0" applyNumberFormat="1" applyFont="1" applyFill="1"/>
    <xf numFmtId="0" fontId="44" fillId="6" borderId="0" xfId="0" applyFont="1" applyFill="1"/>
    <xf numFmtId="0" fontId="28" fillId="0" borderId="0" xfId="0" applyFont="1" applyAlignment="1">
      <alignment horizontal="left"/>
    </xf>
    <xf numFmtId="0" fontId="28" fillId="6" borderId="18" xfId="0" quotePrefix="1" applyFont="1" applyFill="1" applyBorder="1" applyAlignment="1">
      <alignment horizontal="left"/>
    </xf>
    <xf numFmtId="0" fontId="0" fillId="6" borderId="33" xfId="0" applyFill="1" applyBorder="1" applyAlignment="1">
      <alignment horizontal="left" vertical="center"/>
    </xf>
    <xf numFmtId="0" fontId="0" fillId="6" borderId="36" xfId="0" applyFill="1" applyBorder="1"/>
    <xf numFmtId="0" fontId="0" fillId="6" borderId="37" xfId="0" applyFill="1" applyBorder="1"/>
    <xf numFmtId="0" fontId="28" fillId="6" borderId="0" xfId="0" quotePrefix="1" applyFont="1" applyFill="1" applyAlignment="1">
      <alignment horizontal="left"/>
    </xf>
    <xf numFmtId="0" fontId="0" fillId="6" borderId="38" xfId="0" applyFill="1" applyBorder="1"/>
    <xf numFmtId="0" fontId="0" fillId="6" borderId="39" xfId="0" applyFill="1" applyBorder="1"/>
    <xf numFmtId="0" fontId="0" fillId="0" borderId="0" xfId="0" applyAlignment="1">
      <alignment horizontal="left" vertical="center"/>
    </xf>
    <xf numFmtId="167" fontId="0" fillId="0" borderId="0" xfId="0" applyNumberFormat="1" applyAlignment="1">
      <alignment horizontal="center"/>
    </xf>
    <xf numFmtId="0" fontId="0" fillId="6" borderId="0" xfId="0" applyFill="1" applyAlignment="1">
      <alignment horizontal="left"/>
    </xf>
    <xf numFmtId="20" fontId="2" fillId="6" borderId="0" xfId="0" applyNumberFormat="1" applyFont="1" applyFill="1" applyAlignment="1">
      <alignment horizontal="left"/>
    </xf>
    <xf numFmtId="0" fontId="28" fillId="6" borderId="0" xfId="0" quotePrefix="1" applyFont="1" applyFill="1" applyAlignment="1">
      <alignment horizontal="left" vertical="top"/>
    </xf>
    <xf numFmtId="0" fontId="28" fillId="6" borderId="0" xfId="0" applyFont="1" applyFill="1" applyAlignment="1">
      <alignment horizontal="left" vertical="top"/>
    </xf>
    <xf numFmtId="0" fontId="28" fillId="6" borderId="18" xfId="0" applyFont="1" applyFill="1" applyBorder="1"/>
    <xf numFmtId="0" fontId="59" fillId="6" borderId="0" xfId="0" applyFont="1" applyFill="1"/>
    <xf numFmtId="0" fontId="59" fillId="6" borderId="21" xfId="0" applyFont="1" applyFill="1" applyBorder="1"/>
    <xf numFmtId="3" fontId="59" fillId="6" borderId="23" xfId="0" applyNumberFormat="1" applyFont="1" applyFill="1" applyBorder="1"/>
    <xf numFmtId="0" fontId="59" fillId="6" borderId="19" xfId="0" applyFont="1" applyFill="1" applyBorder="1"/>
    <xf numFmtId="0" fontId="58" fillId="6" borderId="20" xfId="0" applyFont="1" applyFill="1" applyBorder="1" applyAlignment="1">
      <alignment horizontal="left" indent="1"/>
    </xf>
    <xf numFmtId="0" fontId="59" fillId="6" borderId="22" xfId="0" applyFont="1" applyFill="1" applyBorder="1"/>
    <xf numFmtId="0" fontId="59" fillId="6" borderId="24" xfId="0" applyFont="1" applyFill="1" applyBorder="1" applyAlignment="1">
      <alignment horizontal="left" indent="1"/>
    </xf>
    <xf numFmtId="3" fontId="59" fillId="6" borderId="23" xfId="0" applyNumberFormat="1" applyFont="1" applyFill="1" applyBorder="1" applyAlignment="1">
      <alignment horizontal="right"/>
    </xf>
    <xf numFmtId="3" fontId="60" fillId="6" borderId="25" xfId="0" applyNumberFormat="1" applyFont="1" applyFill="1" applyBorder="1"/>
    <xf numFmtId="0" fontId="60" fillId="6" borderId="26" xfId="0" applyFont="1" applyFill="1" applyBorder="1" applyAlignment="1">
      <alignment horizontal="left" indent="1"/>
    </xf>
    <xf numFmtId="3" fontId="59" fillId="6" borderId="31" xfId="0" applyNumberFormat="1" applyFont="1" applyFill="1" applyBorder="1"/>
    <xf numFmtId="0" fontId="59" fillId="6" borderId="32" xfId="0" applyFont="1" applyFill="1" applyBorder="1" applyAlignment="1">
      <alignment horizontal="left" indent="1"/>
    </xf>
    <xf numFmtId="0" fontId="28" fillId="6" borderId="18" xfId="0" applyFont="1" applyFill="1" applyBorder="1" applyAlignment="1">
      <alignment horizontal="left"/>
    </xf>
    <xf numFmtId="0" fontId="0" fillId="6" borderId="18" xfId="0" applyFill="1" applyBorder="1" applyAlignment="1">
      <alignment horizontal="left" vertical="center"/>
    </xf>
    <xf numFmtId="0" fontId="2" fillId="6" borderId="36" xfId="0" applyFont="1" applyFill="1" applyBorder="1" applyAlignment="1">
      <alignment vertical="center"/>
    </xf>
    <xf numFmtId="0" fontId="0" fillId="6" borderId="18" xfId="0" applyFill="1" applyBorder="1" applyAlignment="1">
      <alignment horizontal="center"/>
    </xf>
    <xf numFmtId="0" fontId="0" fillId="6" borderId="40" xfId="0" applyFill="1" applyBorder="1"/>
    <xf numFmtId="0" fontId="28" fillId="6" borderId="37" xfId="0" applyFont="1" applyFill="1" applyBorder="1"/>
    <xf numFmtId="0" fontId="27" fillId="6" borderId="18" xfId="0" applyFont="1" applyFill="1" applyBorder="1" applyAlignment="1">
      <alignment horizontal="left"/>
    </xf>
    <xf numFmtId="0" fontId="27" fillId="6" borderId="18" xfId="0" applyFont="1" applyFill="1" applyBorder="1"/>
    <xf numFmtId="0" fontId="28" fillId="6" borderId="36" xfId="0" applyFont="1" applyFill="1" applyBorder="1"/>
    <xf numFmtId="166" fontId="0" fillId="6" borderId="18" xfId="0" applyNumberFormat="1" applyFill="1" applyBorder="1" applyAlignment="1">
      <alignment horizontal="center"/>
    </xf>
    <xf numFmtId="0" fontId="40" fillId="6" borderId="18" xfId="0" applyFont="1" applyFill="1" applyBorder="1" applyAlignment="1">
      <alignment horizontal="left"/>
    </xf>
    <xf numFmtId="0" fontId="0" fillId="6" borderId="41" xfId="0" applyFill="1" applyBorder="1"/>
    <xf numFmtId="0" fontId="0" fillId="6" borderId="18" xfId="0" applyFill="1" applyBorder="1"/>
    <xf numFmtId="3" fontId="35" fillId="6" borderId="18" xfId="0" applyNumberFormat="1" applyFont="1" applyFill="1" applyBorder="1" applyAlignment="1">
      <alignment horizontal="center" vertical="center"/>
    </xf>
    <xf numFmtId="0" fontId="34" fillId="6" borderId="40" xfId="0" applyFont="1" applyFill="1" applyBorder="1"/>
    <xf numFmtId="0" fontId="0" fillId="4" borderId="27" xfId="0" applyFill="1" applyBorder="1" applyAlignment="1" applyProtection="1">
      <alignment horizontal="center" vertical="center"/>
      <protection locked="0"/>
    </xf>
    <xf numFmtId="0" fontId="0" fillId="4" borderId="28" xfId="0" applyFill="1" applyBorder="1" applyAlignment="1" applyProtection="1">
      <alignment horizontal="center" vertical="center"/>
      <protection locked="0"/>
    </xf>
    <xf numFmtId="0" fontId="0" fillId="4" borderId="18" xfId="0" applyFill="1" applyBorder="1" applyAlignment="1" applyProtection="1">
      <alignment horizontal="center" vertical="center"/>
      <protection locked="0"/>
    </xf>
    <xf numFmtId="0" fontId="0" fillId="4" borderId="27" xfId="0" applyFill="1" applyBorder="1" applyAlignment="1" applyProtection="1">
      <alignment horizontal="center"/>
      <protection locked="0"/>
    </xf>
    <xf numFmtId="0" fontId="0" fillId="0" borderId="0" xfId="0" applyAlignment="1">
      <alignment horizontal="center" vertical="center"/>
    </xf>
    <xf numFmtId="0" fontId="6" fillId="2" borderId="30" xfId="0" applyFont="1" applyFill="1" applyBorder="1" applyAlignment="1" applyProtection="1">
      <alignment horizontal="center" vertical="center"/>
      <protection locked="0"/>
    </xf>
    <xf numFmtId="0" fontId="35" fillId="6" borderId="0" xfId="0" applyFont="1" applyFill="1" applyAlignment="1">
      <alignment horizontal="center"/>
    </xf>
    <xf numFmtId="0" fontId="60" fillId="6" borderId="22" xfId="0" applyFont="1" applyFill="1" applyBorder="1" applyAlignment="1">
      <alignment horizontal="right"/>
    </xf>
    <xf numFmtId="9" fontId="59" fillId="6" borderId="23" xfId="0" applyNumberFormat="1" applyFont="1" applyFill="1" applyBorder="1"/>
    <xf numFmtId="0" fontId="31" fillId="6" borderId="0" xfId="0" applyFont="1" applyFill="1" applyAlignment="1">
      <alignment horizontal="left" vertical="center" indent="3"/>
    </xf>
    <xf numFmtId="0" fontId="40" fillId="6" borderId="0" xfId="0" applyFont="1" applyFill="1" applyAlignment="1">
      <alignment horizontal="left" indent="1"/>
    </xf>
    <xf numFmtId="0" fontId="59" fillId="6" borderId="24" xfId="0" applyFont="1" applyFill="1" applyBorder="1"/>
    <xf numFmtId="164" fontId="59" fillId="6" borderId="23" xfId="0" applyNumberFormat="1" applyFont="1" applyFill="1" applyBorder="1"/>
    <xf numFmtId="0" fontId="59" fillId="6" borderId="26" xfId="0" applyFont="1" applyFill="1" applyBorder="1"/>
    <xf numFmtId="0" fontId="32" fillId="6" borderId="40" xfId="0" applyFont="1" applyFill="1" applyBorder="1"/>
    <xf numFmtId="2" fontId="28" fillId="6" borderId="0" xfId="0" applyNumberFormat="1" applyFont="1" applyFill="1" applyAlignment="1">
      <alignment horizontal="center"/>
    </xf>
    <xf numFmtId="0" fontId="27" fillId="6" borderId="0" xfId="0" applyFont="1" applyFill="1" applyAlignment="1">
      <alignment horizontal="right"/>
    </xf>
    <xf numFmtId="0" fontId="65" fillId="6" borderId="0" xfId="0" applyFont="1" applyFill="1" applyAlignment="1">
      <alignment horizontal="left" indent="1"/>
    </xf>
    <xf numFmtId="0" fontId="65" fillId="6" borderId="0" xfId="0" applyFont="1" applyFill="1"/>
    <xf numFmtId="9" fontId="65" fillId="6" borderId="0" xfId="0" applyNumberFormat="1" applyFont="1" applyFill="1" applyAlignment="1">
      <alignment horizontal="center" vertical="center"/>
    </xf>
    <xf numFmtId="0" fontId="40" fillId="6" borderId="0" xfId="0" applyFont="1" applyFill="1" applyAlignment="1">
      <alignment horizontal="left" indent="2"/>
    </xf>
    <xf numFmtId="0" fontId="64" fillId="6" borderId="0" xfId="0" applyFont="1" applyFill="1"/>
    <xf numFmtId="0" fontId="32" fillId="6" borderId="0" xfId="0" applyFont="1" applyFill="1" applyAlignment="1">
      <alignment horizontal="left" vertical="center"/>
    </xf>
    <xf numFmtId="0" fontId="64" fillId="6" borderId="0" xfId="0" applyFont="1" applyFill="1" applyAlignment="1">
      <alignment horizontal="left" vertical="center"/>
    </xf>
    <xf numFmtId="0" fontId="70" fillId="6" borderId="0" xfId="0" applyFont="1" applyFill="1"/>
    <xf numFmtId="0" fontId="37" fillId="6" borderId="0" xfId="0" applyFont="1" applyFill="1" applyAlignment="1">
      <alignment textRotation="90"/>
    </xf>
    <xf numFmtId="2" fontId="28" fillId="6" borderId="0" xfId="0" applyNumberFormat="1" applyFont="1" applyFill="1"/>
    <xf numFmtId="0" fontId="33" fillId="6" borderId="0" xfId="0" applyFont="1" applyFill="1" applyAlignment="1">
      <alignment horizontal="left"/>
    </xf>
    <xf numFmtId="0" fontId="0" fillId="9" borderId="0" xfId="0" applyFill="1"/>
    <xf numFmtId="0" fontId="30" fillId="9" borderId="0" xfId="0" applyFont="1" applyFill="1" applyAlignment="1">
      <alignment vertical="center"/>
    </xf>
    <xf numFmtId="0" fontId="2" fillId="9" borderId="0" xfId="0" applyFont="1" applyFill="1"/>
    <xf numFmtId="0" fontId="0" fillId="9" borderId="0" xfId="0" applyFill="1" applyAlignment="1">
      <alignment horizontal="center"/>
    </xf>
    <xf numFmtId="0" fontId="63" fillId="9" borderId="0" xfId="0" applyFont="1" applyFill="1"/>
    <xf numFmtId="0" fontId="0" fillId="9" borderId="0" xfId="0" applyFill="1" applyAlignment="1">
      <alignment horizontal="right"/>
    </xf>
    <xf numFmtId="0" fontId="28" fillId="9" borderId="0" xfId="0" applyFont="1" applyFill="1" applyAlignment="1">
      <alignment horizontal="right"/>
    </xf>
    <xf numFmtId="0" fontId="64" fillId="0" borderId="0" xfId="0" applyFont="1"/>
    <xf numFmtId="0" fontId="64" fillId="0" borderId="0" xfId="0" applyFont="1" applyAlignment="1">
      <alignment vertical="top"/>
    </xf>
    <xf numFmtId="0" fontId="64" fillId="2" borderId="0" xfId="0" applyFont="1" applyFill="1"/>
    <xf numFmtId="0" fontId="64" fillId="2" borderId="0" xfId="0" applyFont="1" applyFill="1" applyAlignment="1">
      <alignment horizontal="center"/>
    </xf>
    <xf numFmtId="0" fontId="64" fillId="6" borderId="0" xfId="0" applyFont="1" applyFill="1" applyAlignment="1">
      <alignment vertical="top"/>
    </xf>
    <xf numFmtId="0" fontId="68" fillId="2" borderId="7" xfId="0" applyFont="1" applyFill="1" applyBorder="1"/>
    <xf numFmtId="0" fontId="68" fillId="2" borderId="7" xfId="0" applyFont="1" applyFill="1" applyBorder="1" applyAlignment="1">
      <alignment horizontal="center" vertical="center"/>
    </xf>
    <xf numFmtId="0" fontId="68" fillId="0" borderId="7" xfId="0" applyFont="1" applyBorder="1" applyAlignment="1">
      <alignment horizontal="center"/>
    </xf>
    <xf numFmtId="49" fontId="68" fillId="2" borderId="7" xfId="0" applyNumberFormat="1" applyFont="1" applyFill="1" applyBorder="1" applyAlignment="1">
      <alignment horizontal="center"/>
    </xf>
    <xf numFmtId="0" fontId="68" fillId="2" borderId="7" xfId="0" applyFont="1" applyFill="1" applyBorder="1" applyAlignment="1">
      <alignment horizontal="center"/>
    </xf>
    <xf numFmtId="172" fontId="64" fillId="2" borderId="0" xfId="0" applyNumberFormat="1" applyFont="1" applyFill="1" applyAlignment="1">
      <alignment horizontal="center" vertical="center"/>
    </xf>
    <xf numFmtId="0" fontId="64" fillId="2" borderId="0" xfId="0" applyFont="1" applyFill="1" applyAlignment="1">
      <alignment horizontal="left" indent="3"/>
    </xf>
    <xf numFmtId="0" fontId="64" fillId="2" borderId="7" xfId="0" applyFont="1" applyFill="1" applyBorder="1"/>
    <xf numFmtId="172" fontId="64" fillId="2" borderId="7" xfId="0" applyNumberFormat="1" applyFont="1" applyFill="1" applyBorder="1" applyAlignment="1">
      <alignment horizontal="center"/>
    </xf>
    <xf numFmtId="0" fontId="64" fillId="2" borderId="7" xfId="0" applyFont="1" applyFill="1" applyBorder="1" applyAlignment="1">
      <alignment horizontal="center"/>
    </xf>
    <xf numFmtId="0" fontId="64" fillId="2" borderId="7" xfId="0" applyFont="1" applyFill="1" applyBorder="1" applyAlignment="1">
      <alignment horizontal="left" indent="3"/>
    </xf>
    <xf numFmtId="0" fontId="64" fillId="2" borderId="0" xfId="0" applyFont="1" applyFill="1" applyAlignment="1">
      <alignment vertical="top" wrapText="1"/>
    </xf>
    <xf numFmtId="0" fontId="68" fillId="2" borderId="0" xfId="0" applyFont="1" applyFill="1"/>
    <xf numFmtId="0" fontId="64" fillId="6" borderId="0" xfId="0" applyFont="1" applyFill="1" applyAlignment="1">
      <alignment horizontal="center"/>
    </xf>
    <xf numFmtId="49" fontId="64" fillId="2" borderId="0" xfId="0" applyNumberFormat="1" applyFont="1" applyFill="1" applyAlignment="1">
      <alignment horizontal="center"/>
    </xf>
    <xf numFmtId="173" fontId="64" fillId="2" borderId="0" xfId="0" applyNumberFormat="1" applyFont="1" applyFill="1" applyAlignment="1">
      <alignment horizontal="center"/>
    </xf>
    <xf numFmtId="0" fontId="70" fillId="0" borderId="0" xfId="0" applyFont="1"/>
    <xf numFmtId="0" fontId="64" fillId="0" borderId="0" xfId="0" applyFont="1" applyAlignment="1">
      <alignment horizontal="center"/>
    </xf>
    <xf numFmtId="173" fontId="64" fillId="7" borderId="14" xfId="0" applyNumberFormat="1" applyFont="1" applyFill="1" applyBorder="1" applyAlignment="1" applyProtection="1">
      <alignment horizontal="center"/>
      <protection locked="0"/>
    </xf>
    <xf numFmtId="0" fontId="64" fillId="2" borderId="0" xfId="0" applyFont="1" applyFill="1" applyAlignment="1">
      <alignment horizontal="left"/>
    </xf>
    <xf numFmtId="0" fontId="64" fillId="2" borderId="18" xfId="0" quotePrefix="1" applyFont="1" applyFill="1" applyBorder="1" applyAlignment="1">
      <alignment horizontal="left"/>
    </xf>
    <xf numFmtId="0" fontId="77" fillId="2" borderId="0" xfId="0" applyFont="1" applyFill="1"/>
    <xf numFmtId="9" fontId="64" fillId="7" borderId="14" xfId="0" applyNumberFormat="1" applyFont="1" applyFill="1" applyBorder="1" applyAlignment="1" applyProtection="1">
      <alignment horizontal="center"/>
      <protection locked="0"/>
    </xf>
    <xf numFmtId="0" fontId="28" fillId="6" borderId="24" xfId="0" applyFont="1" applyFill="1" applyBorder="1" applyAlignment="1">
      <alignment horizontal="left" indent="1"/>
    </xf>
    <xf numFmtId="0" fontId="0" fillId="9" borderId="48" xfId="0" applyFill="1" applyBorder="1"/>
    <xf numFmtId="0" fontId="30" fillId="9" borderId="48" xfId="0" applyFont="1" applyFill="1" applyBorder="1" applyAlignment="1">
      <alignment vertical="center"/>
    </xf>
    <xf numFmtId="0" fontId="0" fillId="9" borderId="48" xfId="0" applyFill="1" applyBorder="1" applyAlignment="1">
      <alignment horizontal="right"/>
    </xf>
    <xf numFmtId="0" fontId="28" fillId="9" borderId="48" xfId="0" applyFont="1" applyFill="1" applyBorder="1" applyAlignment="1">
      <alignment horizontal="left"/>
    </xf>
    <xf numFmtId="0" fontId="0" fillId="9" borderId="48" xfId="0" applyFill="1" applyBorder="1" applyAlignment="1">
      <alignment horizontal="center"/>
    </xf>
    <xf numFmtId="0" fontId="28" fillId="9" borderId="0" xfId="0" applyFont="1" applyFill="1" applyAlignment="1">
      <alignment horizontal="left"/>
    </xf>
    <xf numFmtId="0" fontId="79" fillId="9" borderId="0" xfId="0" applyFont="1" applyFill="1"/>
    <xf numFmtId="0" fontId="79" fillId="9" borderId="48" xfId="0" applyFont="1" applyFill="1" applyBorder="1"/>
    <xf numFmtId="0" fontId="82" fillId="9" borderId="48" xfId="0" applyFont="1" applyFill="1" applyBorder="1" applyAlignment="1">
      <alignment vertical="center"/>
    </xf>
    <xf numFmtId="0" fontId="79" fillId="9" borderId="48" xfId="0" applyFont="1" applyFill="1" applyBorder="1" applyAlignment="1">
      <alignment vertical="top"/>
    </xf>
    <xf numFmtId="0" fontId="79" fillId="6" borderId="0" xfId="0" applyFont="1" applyFill="1"/>
    <xf numFmtId="0" fontId="82" fillId="6" borderId="0" xfId="0" applyFont="1" applyFill="1" applyAlignment="1">
      <alignment vertical="center"/>
    </xf>
    <xf numFmtId="0" fontId="80" fillId="6" borderId="0" xfId="1" applyFont="1" applyFill="1" applyBorder="1" applyAlignment="1">
      <alignment horizontal="left" vertical="top"/>
    </xf>
    <xf numFmtId="0" fontId="81" fillId="6" borderId="0" xfId="0" applyFont="1" applyFill="1" applyAlignment="1">
      <alignment horizontal="left" vertical="top"/>
    </xf>
    <xf numFmtId="0" fontId="79" fillId="6" borderId="0" xfId="0" applyFont="1" applyFill="1" applyAlignment="1">
      <alignment vertical="top"/>
    </xf>
    <xf numFmtId="0" fontId="75" fillId="9" borderId="48" xfId="0" applyFont="1" applyFill="1" applyBorder="1" applyAlignment="1">
      <alignment vertical="center"/>
    </xf>
    <xf numFmtId="0" fontId="28" fillId="9" borderId="0" xfId="0" applyFont="1" applyFill="1"/>
    <xf numFmtId="0" fontId="28" fillId="9" borderId="48" xfId="0" applyFont="1" applyFill="1" applyBorder="1"/>
    <xf numFmtId="0" fontId="32" fillId="4" borderId="53" xfId="0" applyFont="1" applyFill="1" applyBorder="1" applyAlignment="1" applyProtection="1">
      <alignment horizontal="center"/>
      <protection locked="0"/>
    </xf>
    <xf numFmtId="1" fontId="32" fillId="4" borderId="52" xfId="0" applyNumberFormat="1" applyFont="1" applyFill="1" applyBorder="1" applyAlignment="1" applyProtection="1">
      <alignment horizontal="center"/>
      <protection locked="0"/>
    </xf>
    <xf numFmtId="3" fontId="31" fillId="6" borderId="24" xfId="0" applyNumberFormat="1" applyFont="1" applyFill="1" applyBorder="1" applyAlignment="1">
      <alignment horizontal="left" indent="1"/>
    </xf>
    <xf numFmtId="1" fontId="31" fillId="6" borderId="24" xfId="0" applyNumberFormat="1" applyFont="1" applyFill="1" applyBorder="1" applyAlignment="1">
      <alignment horizontal="left" indent="1"/>
    </xf>
    <xf numFmtId="0" fontId="66" fillId="6" borderId="0" xfId="0" applyFont="1" applyFill="1" applyAlignment="1">
      <alignment horizontal="left" indent="1"/>
    </xf>
    <xf numFmtId="0" fontId="0" fillId="6" borderId="35" xfId="0" applyFill="1" applyBorder="1"/>
    <xf numFmtId="0" fontId="58" fillId="6" borderId="59" xfId="0" applyFont="1" applyFill="1" applyBorder="1" applyAlignment="1">
      <alignment horizontal="left" vertical="center" indent="1"/>
    </xf>
    <xf numFmtId="0" fontId="59" fillId="6" borderId="60" xfId="0" applyFont="1" applyFill="1" applyBorder="1" applyAlignment="1">
      <alignment horizontal="left" vertical="center" indent="1"/>
    </xf>
    <xf numFmtId="0" fontId="59" fillId="6" borderId="60" xfId="0" applyFont="1" applyFill="1" applyBorder="1" applyAlignment="1">
      <alignment horizontal="left" indent="1"/>
    </xf>
    <xf numFmtId="0" fontId="28" fillId="6" borderId="62" xfId="0" applyFont="1" applyFill="1" applyBorder="1"/>
    <xf numFmtId="0" fontId="28" fillId="6" borderId="63" xfId="0" applyFont="1" applyFill="1" applyBorder="1"/>
    <xf numFmtId="171" fontId="28" fillId="6" borderId="64" xfId="0" applyNumberFormat="1" applyFont="1" applyFill="1" applyBorder="1" applyAlignment="1">
      <alignment horizontal="center" vertical="center"/>
    </xf>
    <xf numFmtId="0" fontId="28" fillId="6" borderId="60" xfId="0" applyFont="1" applyFill="1" applyBorder="1" applyAlignment="1">
      <alignment vertical="center"/>
    </xf>
    <xf numFmtId="171" fontId="28" fillId="6" borderId="64" xfId="0" applyNumberFormat="1" applyFont="1" applyFill="1" applyBorder="1" applyAlignment="1">
      <alignment horizontal="center"/>
    </xf>
    <xf numFmtId="9" fontId="28" fillId="6" borderId="60" xfId="0" applyNumberFormat="1" applyFont="1" applyFill="1" applyBorder="1"/>
    <xf numFmtId="164" fontId="28" fillId="6" borderId="60" xfId="0" applyNumberFormat="1" applyFont="1" applyFill="1" applyBorder="1" applyAlignment="1">
      <alignment vertical="center"/>
    </xf>
    <xf numFmtId="171" fontId="28" fillId="6" borderId="65" xfId="0" applyNumberFormat="1" applyFont="1" applyFill="1" applyBorder="1" applyAlignment="1">
      <alignment horizontal="center"/>
    </xf>
    <xf numFmtId="9" fontId="28" fillId="6" borderId="61" xfId="0" applyNumberFormat="1" applyFont="1" applyFill="1" applyBorder="1"/>
    <xf numFmtId="174" fontId="64" fillId="7" borderId="16" xfId="0" applyNumberFormat="1" applyFont="1" applyFill="1" applyBorder="1" applyAlignment="1" applyProtection="1">
      <alignment horizontal="center" vertical="center"/>
      <protection locked="0"/>
    </xf>
    <xf numFmtId="174" fontId="64" fillId="7" borderId="14" xfId="0" applyNumberFormat="1" applyFont="1" applyFill="1" applyBorder="1" applyAlignment="1" applyProtection="1">
      <alignment horizontal="center"/>
      <protection locked="0"/>
    </xf>
    <xf numFmtId="175" fontId="64" fillId="7" borderId="14" xfId="0" applyNumberFormat="1" applyFont="1" applyFill="1" applyBorder="1" applyAlignment="1" applyProtection="1">
      <alignment horizontal="center" vertical="center"/>
      <protection locked="0"/>
    </xf>
    <xf numFmtId="0" fontId="64" fillId="2" borderId="0" xfId="0" applyFont="1" applyFill="1" applyAlignment="1">
      <alignment horizontal="left" indent="1"/>
    </xf>
    <xf numFmtId="174" fontId="64" fillId="2" borderId="8" xfId="0" applyNumberFormat="1" applyFont="1" applyFill="1" applyBorder="1" applyAlignment="1" applyProtection="1">
      <alignment horizontal="center"/>
      <protection locked="0"/>
    </xf>
    <xf numFmtId="174" fontId="64" fillId="2" borderId="10" xfId="0" applyNumberFormat="1" applyFont="1" applyFill="1" applyBorder="1" applyAlignment="1">
      <alignment horizontal="center"/>
    </xf>
    <xf numFmtId="0" fontId="84" fillId="6" borderId="0" xfId="0" applyFont="1" applyFill="1"/>
    <xf numFmtId="0" fontId="80" fillId="6" borderId="49" xfId="1" applyFont="1" applyFill="1" applyBorder="1" applyAlignment="1">
      <alignment horizontal="left" vertical="top"/>
    </xf>
    <xf numFmtId="0" fontId="32" fillId="0" borderId="0" xfId="0" applyFont="1" applyAlignment="1">
      <alignment horizontal="left" indent="2"/>
    </xf>
    <xf numFmtId="49" fontId="64" fillId="2" borderId="7" xfId="0" applyNumberFormat="1" applyFont="1" applyFill="1" applyBorder="1" applyAlignment="1">
      <alignment horizontal="center"/>
    </xf>
    <xf numFmtId="0" fontId="6" fillId="2" borderId="21" xfId="0" applyFont="1" applyFill="1" applyBorder="1" applyAlignment="1">
      <alignment horizontal="left" indent="1"/>
    </xf>
    <xf numFmtId="0" fontId="6" fillId="2" borderId="21" xfId="0" applyFont="1" applyFill="1" applyBorder="1"/>
    <xf numFmtId="0" fontId="6" fillId="2" borderId="22" xfId="0" applyFont="1" applyFill="1" applyBorder="1"/>
    <xf numFmtId="0" fontId="6" fillId="2" borderId="0" xfId="0" applyFont="1" applyFill="1" applyAlignment="1">
      <alignment horizontal="left" indent="1"/>
    </xf>
    <xf numFmtId="0" fontId="6" fillId="2" borderId="0" xfId="0" applyFont="1" applyFill="1"/>
    <xf numFmtId="0" fontId="6" fillId="2" borderId="24" xfId="0" applyFont="1" applyFill="1" applyBorder="1"/>
    <xf numFmtId="0" fontId="64" fillId="2" borderId="23" xfId="0" applyFont="1" applyFill="1" applyBorder="1" applyAlignment="1">
      <alignment horizontal="left" vertical="center" indent="2"/>
    </xf>
    <xf numFmtId="0" fontId="64" fillId="2" borderId="17" xfId="0" applyFont="1" applyFill="1" applyBorder="1" applyAlignment="1">
      <alignment horizontal="left" indent="1"/>
    </xf>
    <xf numFmtId="0" fontId="64" fillId="2" borderId="0" xfId="0" applyFont="1" applyFill="1" applyAlignment="1">
      <alignment horizontal="left" vertical="center" indent="2"/>
    </xf>
    <xf numFmtId="0" fontId="64" fillId="2" borderId="24" xfId="0" applyFont="1" applyFill="1" applyBorder="1"/>
    <xf numFmtId="0" fontId="64" fillId="2" borderId="0" xfId="0" applyFont="1" applyFill="1" applyAlignment="1">
      <alignment horizontal="left" indent="2"/>
    </xf>
    <xf numFmtId="0" fontId="64" fillId="2" borderId="25" xfId="0" applyFont="1" applyFill="1" applyBorder="1" applyAlignment="1">
      <alignment horizontal="left" vertical="top" indent="2"/>
    </xf>
    <xf numFmtId="0" fontId="64" fillId="2" borderId="19" xfId="0" applyFont="1" applyFill="1" applyBorder="1" applyAlignment="1">
      <alignment horizontal="left" vertical="top" indent="2"/>
    </xf>
    <xf numFmtId="0" fontId="64" fillId="2" borderId="29" xfId="0" applyFont="1" applyFill="1" applyBorder="1" applyAlignment="1">
      <alignment horizontal="left" vertical="top" indent="2"/>
    </xf>
    <xf numFmtId="0" fontId="64" fillId="2" borderId="19" xfId="0" applyFont="1" applyFill="1" applyBorder="1" applyAlignment="1">
      <alignment horizontal="left" vertical="top"/>
    </xf>
    <xf numFmtId="0" fontId="64" fillId="2" borderId="19" xfId="0" applyFont="1" applyFill="1" applyBorder="1" applyAlignment="1">
      <alignment vertical="top"/>
    </xf>
    <xf numFmtId="0" fontId="64" fillId="2" borderId="26" xfId="0" applyFont="1" applyFill="1" applyBorder="1"/>
    <xf numFmtId="0" fontId="64" fillId="2" borderId="23" xfId="0" applyFont="1" applyFill="1" applyBorder="1" applyAlignment="1">
      <alignment horizontal="left" indent="2"/>
    </xf>
    <xf numFmtId="0" fontId="64" fillId="2" borderId="19" xfId="0" applyFont="1" applyFill="1" applyBorder="1" applyAlignment="1">
      <alignment horizontal="left" indent="1"/>
    </xf>
    <xf numFmtId="0" fontId="6" fillId="2" borderId="19" xfId="0" applyFont="1" applyFill="1" applyBorder="1" applyAlignment="1">
      <alignment horizontal="left" indent="1"/>
    </xf>
    <xf numFmtId="0" fontId="6" fillId="2" borderId="19" xfId="0" applyFont="1" applyFill="1" applyBorder="1"/>
    <xf numFmtId="0" fontId="6" fillId="2" borderId="26" xfId="0" applyFont="1" applyFill="1" applyBorder="1"/>
    <xf numFmtId="0" fontId="64" fillId="2" borderId="0" xfId="0" applyFont="1" applyFill="1" applyAlignment="1">
      <alignment horizontal="center" vertical="top"/>
    </xf>
    <xf numFmtId="0" fontId="91" fillId="2" borderId="7" xfId="0" applyFont="1" applyFill="1" applyBorder="1" applyAlignment="1">
      <alignment horizontal="center" vertical="top"/>
    </xf>
    <xf numFmtId="0" fontId="40" fillId="6" borderId="0" xfId="0" applyFont="1" applyFill="1" applyAlignment="1">
      <alignment horizontal="center" vertical="center"/>
    </xf>
    <xf numFmtId="1" fontId="28" fillId="6" borderId="0" xfId="0" applyNumberFormat="1" applyFont="1" applyFill="1" applyAlignment="1">
      <alignment horizontal="left"/>
    </xf>
    <xf numFmtId="0" fontId="32" fillId="6" borderId="36" xfId="0" applyFont="1" applyFill="1" applyBorder="1"/>
    <xf numFmtId="0" fontId="0" fillId="6" borderId="34" xfId="0" applyFill="1" applyBorder="1"/>
    <xf numFmtId="171" fontId="28" fillId="6" borderId="0" xfId="0" applyNumberFormat="1" applyFont="1" applyFill="1" applyAlignment="1">
      <alignment horizontal="center"/>
    </xf>
    <xf numFmtId="164" fontId="28" fillId="6" borderId="0" xfId="0" applyNumberFormat="1" applyFont="1" applyFill="1" applyAlignment="1">
      <alignment vertical="center"/>
    </xf>
    <xf numFmtId="171" fontId="0" fillId="0" borderId="0" xfId="0" applyNumberFormat="1"/>
    <xf numFmtId="0" fontId="0" fillId="6" borderId="0" xfId="0" applyFill="1" applyAlignment="1">
      <alignment horizontal="left" indent="2"/>
    </xf>
    <xf numFmtId="9" fontId="11" fillId="0" borderId="27" xfId="0" applyNumberFormat="1" applyFont="1" applyBorder="1" applyAlignment="1" applyProtection="1">
      <alignment horizontal="center" vertical="center"/>
      <protection locked="0"/>
    </xf>
    <xf numFmtId="9" fontId="11" fillId="0" borderId="28" xfId="0" applyNumberFormat="1" applyFont="1" applyBorder="1" applyAlignment="1" applyProtection="1">
      <alignment horizontal="center" vertical="center"/>
      <protection locked="0"/>
    </xf>
    <xf numFmtId="164" fontId="11" fillId="0" borderId="28" xfId="0" applyNumberFormat="1" applyFont="1" applyBorder="1" applyAlignment="1" applyProtection="1">
      <alignment horizontal="center" vertical="center"/>
      <protection locked="0"/>
    </xf>
    <xf numFmtId="9" fontId="32" fillId="0" borderId="51" xfId="0" applyNumberFormat="1" applyFont="1" applyBorder="1" applyAlignment="1" applyProtection="1">
      <alignment horizontal="center"/>
      <protection locked="0"/>
    </xf>
    <xf numFmtId="10" fontId="32" fillId="0" borderId="50" xfId="0" applyNumberFormat="1" applyFont="1" applyBorder="1" applyAlignment="1" applyProtection="1">
      <alignment horizontal="center"/>
      <protection locked="0"/>
    </xf>
    <xf numFmtId="9" fontId="64" fillId="0" borderId="53" xfId="0" applyNumberFormat="1" applyFont="1" applyBorder="1" applyAlignment="1" applyProtection="1">
      <alignment horizontal="center" vertical="center"/>
      <protection locked="0"/>
    </xf>
    <xf numFmtId="0" fontId="32" fillId="0" borderId="53" xfId="0" applyFont="1" applyBorder="1" applyAlignment="1" applyProtection="1">
      <alignment horizontal="center" vertical="center"/>
      <protection locked="0"/>
    </xf>
    <xf numFmtId="1" fontId="32" fillId="0" borderId="52" xfId="0" applyNumberFormat="1" applyFont="1" applyBorder="1" applyAlignment="1" applyProtection="1">
      <alignment horizontal="center" vertical="center"/>
      <protection locked="0"/>
    </xf>
    <xf numFmtId="0" fontId="11" fillId="0" borderId="54" xfId="0" applyFont="1" applyBorder="1" applyAlignment="1" applyProtection="1">
      <alignment horizontal="center"/>
      <protection locked="0"/>
    </xf>
    <xf numFmtId="1" fontId="11" fillId="0" borderId="55" xfId="0" applyNumberFormat="1" applyFont="1" applyBorder="1" applyAlignment="1" applyProtection="1">
      <alignment horizontal="center"/>
      <protection locked="0"/>
    </xf>
    <xf numFmtId="0" fontId="0" fillId="0" borderId="27" xfId="0" applyBorder="1" applyAlignment="1" applyProtection="1">
      <alignment horizontal="center"/>
      <protection locked="0"/>
    </xf>
    <xf numFmtId="0" fontId="0" fillId="0" borderId="28"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 fontId="32" fillId="0" borderId="53" xfId="0" applyNumberFormat="1" applyFont="1" applyBorder="1" applyAlignment="1" applyProtection="1">
      <alignment horizontal="center" vertical="center"/>
      <protection locked="0"/>
    </xf>
    <xf numFmtId="0" fontId="64" fillId="0" borderId="52" xfId="0" applyFont="1" applyBorder="1" applyAlignment="1" applyProtection="1">
      <alignment horizontal="center" vertical="center"/>
      <protection locked="0"/>
    </xf>
    <xf numFmtId="0" fontId="98" fillId="9" borderId="48" xfId="0" applyFont="1" applyFill="1" applyBorder="1" applyAlignment="1">
      <alignment vertical="top"/>
    </xf>
    <xf numFmtId="3" fontId="32" fillId="2" borderId="45" xfId="0" applyNumberFormat="1" applyFont="1" applyFill="1" applyBorder="1" applyAlignment="1" applyProtection="1">
      <alignment horizontal="center" vertical="center"/>
      <protection locked="0"/>
    </xf>
    <xf numFmtId="3" fontId="32" fillId="2" borderId="43" xfId="0" applyNumberFormat="1" applyFont="1" applyFill="1" applyBorder="1" applyAlignment="1" applyProtection="1">
      <alignment horizontal="center" vertical="center"/>
      <protection locked="0"/>
    </xf>
    <xf numFmtId="0" fontId="28" fillId="6" borderId="34" xfId="0" applyFont="1" applyFill="1" applyBorder="1" applyAlignment="1">
      <alignment horizontal="left"/>
    </xf>
    <xf numFmtId="0" fontId="0" fillId="6" borderId="34" xfId="0" applyFill="1" applyBorder="1" applyAlignment="1">
      <alignment horizontal="center"/>
    </xf>
    <xf numFmtId="0" fontId="27" fillId="6" borderId="62" xfId="0" applyFont="1" applyFill="1" applyBorder="1"/>
    <xf numFmtId="164" fontId="0" fillId="0" borderId="0" xfId="0" applyNumberFormat="1" applyAlignment="1">
      <alignment horizontal="center" vertical="top"/>
    </xf>
    <xf numFmtId="9" fontId="64" fillId="2" borderId="0" xfId="0" applyNumberFormat="1" applyFont="1" applyFill="1" applyAlignment="1">
      <alignment horizontal="center"/>
    </xf>
    <xf numFmtId="0" fontId="68" fillId="2" borderId="0" xfId="0" applyFont="1" applyFill="1" applyAlignment="1">
      <alignment horizontal="center" vertical="center"/>
    </xf>
    <xf numFmtId="9" fontId="68" fillId="2" borderId="0" xfId="0" applyNumberFormat="1" applyFont="1" applyFill="1" applyAlignment="1">
      <alignment horizontal="center" vertical="center"/>
    </xf>
    <xf numFmtId="9" fontId="64" fillId="0" borderId="14" xfId="0" applyNumberFormat="1" applyFont="1" applyBorder="1" applyAlignment="1">
      <alignment horizontal="center" vertical="center"/>
    </xf>
    <xf numFmtId="173" fontId="64" fillId="2" borderId="14" xfId="0" applyNumberFormat="1" applyFont="1" applyFill="1" applyBorder="1" applyAlignment="1">
      <alignment horizontal="center" vertical="center"/>
    </xf>
    <xf numFmtId="0" fontId="101" fillId="2" borderId="0" xfId="0" applyFont="1" applyFill="1"/>
    <xf numFmtId="0" fontId="64" fillId="2" borderId="68" xfId="0" applyFont="1" applyFill="1" applyBorder="1"/>
    <xf numFmtId="3" fontId="31" fillId="6" borderId="0" xfId="0" applyNumberFormat="1" applyFont="1" applyFill="1" applyAlignment="1">
      <alignment horizontal="center" vertical="center"/>
    </xf>
    <xf numFmtId="0" fontId="78" fillId="2" borderId="0" xfId="0" applyFont="1" applyFill="1" applyAlignment="1">
      <alignment horizontal="left" vertical="center" wrapText="1" indent="1"/>
    </xf>
    <xf numFmtId="9" fontId="64" fillId="2" borderId="7" xfId="0" applyNumberFormat="1" applyFont="1" applyFill="1" applyBorder="1" applyAlignment="1">
      <alignment horizontal="center"/>
    </xf>
    <xf numFmtId="173" fontId="64" fillId="2" borderId="7" xfId="0" applyNumberFormat="1" applyFont="1" applyFill="1" applyBorder="1" applyAlignment="1">
      <alignment horizontal="center"/>
    </xf>
    <xf numFmtId="0" fontId="64" fillId="2" borderId="0" xfId="0" applyFont="1" applyFill="1" applyAlignment="1">
      <alignment horizontal="right"/>
    </xf>
    <xf numFmtId="0" fontId="68" fillId="2" borderId="0" xfId="0" applyFont="1" applyFill="1" applyAlignment="1">
      <alignment horizontal="right" indent="1"/>
    </xf>
    <xf numFmtId="17" fontId="0" fillId="6" borderId="0" xfId="0" applyNumberFormat="1" applyFill="1"/>
    <xf numFmtId="0" fontId="31" fillId="0" borderId="0" xfId="0" applyFont="1"/>
    <xf numFmtId="0" fontId="28" fillId="0" borderId="0" xfId="0" applyFont="1"/>
    <xf numFmtId="0" fontId="2" fillId="0" borderId="7" xfId="0" applyFont="1" applyBorder="1"/>
    <xf numFmtId="0" fontId="2" fillId="0" borderId="7" xfId="0" applyFont="1" applyBorder="1" applyAlignment="1">
      <alignment horizontal="center"/>
    </xf>
    <xf numFmtId="0" fontId="99" fillId="8" borderId="0" xfId="0" applyFont="1" applyFill="1" applyAlignment="1">
      <alignment vertical="center"/>
    </xf>
    <xf numFmtId="0" fontId="100" fillId="8" borderId="0" xfId="0" applyFont="1" applyFill="1" applyAlignment="1">
      <alignment vertical="center"/>
    </xf>
    <xf numFmtId="0" fontId="3" fillId="8" borderId="0" xfId="1" applyFill="1" applyBorder="1" applyAlignment="1">
      <alignment vertical="center"/>
    </xf>
    <xf numFmtId="0" fontId="6" fillId="0" borderId="3" xfId="0" applyFont="1" applyBorder="1" applyAlignment="1">
      <alignment horizontal="left" indent="2"/>
    </xf>
    <xf numFmtId="17" fontId="6" fillId="0" borderId="3" xfId="0" applyNumberFormat="1" applyFont="1" applyBorder="1" applyAlignment="1">
      <alignment horizontal="left" indent="2"/>
    </xf>
    <xf numFmtId="0" fontId="6" fillId="0" borderId="3" xfId="0" applyFont="1" applyBorder="1" applyAlignment="1">
      <alignment horizontal="center" vertical="center"/>
    </xf>
    <xf numFmtId="0" fontId="1" fillId="0" borderId="3" xfId="0" applyFont="1" applyBorder="1" applyAlignment="1">
      <alignment horizontal="center" vertical="center"/>
    </xf>
    <xf numFmtId="0" fontId="100" fillId="0" borderId="0" xfId="0" applyFont="1" applyAlignment="1">
      <alignment vertical="center"/>
    </xf>
    <xf numFmtId="0" fontId="106" fillId="0" borderId="0" xfId="0" applyFont="1" applyAlignment="1">
      <alignment vertical="center"/>
    </xf>
    <xf numFmtId="0" fontId="3" fillId="0" borderId="0" xfId="1" applyFill="1" applyBorder="1" applyAlignment="1">
      <alignment vertical="center"/>
    </xf>
    <xf numFmtId="0" fontId="108" fillId="0" borderId="0" xfId="0" applyFont="1" applyAlignment="1">
      <alignment horizontal="left" vertical="top"/>
    </xf>
    <xf numFmtId="0" fontId="64" fillId="2" borderId="0" xfId="0" applyFont="1" applyFill="1" applyAlignment="1">
      <alignment horizontal="left" vertical="top" wrapText="1"/>
    </xf>
    <xf numFmtId="0" fontId="109" fillId="0" borderId="0" xfId="0" applyFont="1"/>
    <xf numFmtId="0" fontId="71" fillId="0" borderId="0" xfId="0" applyFont="1" applyAlignment="1">
      <alignment vertical="top" wrapText="1"/>
    </xf>
    <xf numFmtId="0" fontId="68" fillId="2" borderId="0" xfId="0" applyFont="1" applyFill="1" applyAlignment="1">
      <alignment horizontal="left" vertical="center"/>
    </xf>
    <xf numFmtId="0" fontId="68" fillId="2" borderId="0" xfId="0" applyFont="1" applyFill="1" applyAlignment="1">
      <alignment horizontal="left" vertical="center" wrapText="1"/>
    </xf>
    <xf numFmtId="0" fontId="64" fillId="0" borderId="0" xfId="0" applyFont="1" applyAlignment="1">
      <alignment vertical="top" wrapText="1"/>
    </xf>
    <xf numFmtId="0" fontId="68" fillId="2" borderId="0" xfId="0" applyFont="1" applyFill="1" applyAlignment="1">
      <alignment horizontal="left" vertical="top"/>
    </xf>
    <xf numFmtId="0" fontId="0" fillId="0" borderId="4" xfId="0" applyBorder="1" applyAlignment="1">
      <alignment horizontal="center"/>
    </xf>
    <xf numFmtId="0" fontId="68" fillId="2" borderId="0" xfId="0" applyFont="1" applyFill="1" applyAlignment="1">
      <alignment vertical="top"/>
    </xf>
    <xf numFmtId="0" fontId="64" fillId="2" borderId="0" xfId="0" applyFont="1" applyFill="1" applyAlignment="1">
      <alignment vertical="top"/>
    </xf>
    <xf numFmtId="0" fontId="68" fillId="2" borderId="0" xfId="0" applyFont="1" applyFill="1" applyAlignment="1">
      <alignment horizontal="left" vertical="top" wrapText="1"/>
    </xf>
    <xf numFmtId="0" fontId="68" fillId="2" borderId="7" xfId="0" applyFont="1" applyFill="1" applyBorder="1" applyAlignment="1">
      <alignment horizontal="center" vertical="top" wrapText="1"/>
    </xf>
    <xf numFmtId="0" fontId="64" fillId="2" borderId="0" xfId="0" applyFont="1" applyFill="1" applyAlignment="1">
      <alignment horizontal="center" vertical="top" wrapText="1"/>
    </xf>
    <xf numFmtId="0" fontId="0" fillId="2" borderId="1" xfId="0" applyFill="1" applyBorder="1" applyAlignment="1">
      <alignment horizontal="left" indent="1"/>
    </xf>
    <xf numFmtId="0" fontId="0" fillId="2" borderId="8" xfId="0" applyFill="1" applyBorder="1" applyAlignment="1">
      <alignment horizontal="left"/>
    </xf>
    <xf numFmtId="0" fontId="0" fillId="2" borderId="15" xfId="0" applyFill="1" applyBorder="1" applyAlignment="1">
      <alignment horizontal="center" vertical="center"/>
    </xf>
    <xf numFmtId="49" fontId="0" fillId="2" borderId="15" xfId="0" applyNumberFormat="1" applyFill="1" applyBorder="1" applyAlignment="1">
      <alignment horizontal="center" vertical="center"/>
    </xf>
    <xf numFmtId="0" fontId="0" fillId="2" borderId="3" xfId="0" applyFill="1" applyBorder="1" applyAlignment="1">
      <alignment horizontal="left" indent="1"/>
    </xf>
    <xf numFmtId="49" fontId="0" fillId="2" borderId="12" xfId="0" applyNumberFormat="1" applyFill="1" applyBorder="1" applyAlignment="1">
      <alignment horizontal="center" vertical="center"/>
    </xf>
    <xf numFmtId="0" fontId="0" fillId="2" borderId="0" xfId="0" applyFill="1" applyAlignment="1">
      <alignment horizontal="left" vertical="center"/>
    </xf>
    <xf numFmtId="0" fontId="64" fillId="2" borderId="12" xfId="0" applyFont="1" applyFill="1" applyBorder="1"/>
    <xf numFmtId="49" fontId="0" fillId="2" borderId="0" xfId="0" applyNumberFormat="1" applyFill="1" applyAlignment="1">
      <alignment horizontal="left"/>
    </xf>
    <xf numFmtId="0" fontId="0" fillId="2" borderId="12" xfId="0" applyFill="1" applyBorder="1" applyAlignment="1">
      <alignment horizontal="center" vertical="center"/>
    </xf>
    <xf numFmtId="9" fontId="0" fillId="2" borderId="12" xfId="0" applyNumberFormat="1" applyFill="1" applyBorder="1" applyAlignment="1">
      <alignment horizontal="center" vertical="center"/>
    </xf>
    <xf numFmtId="0" fontId="0" fillId="2" borderId="5" xfId="0" applyFill="1" applyBorder="1" applyAlignment="1">
      <alignment horizontal="left" indent="1"/>
    </xf>
    <xf numFmtId="0" fontId="0" fillId="2" borderId="7" xfId="0" applyFill="1" applyBorder="1" applyAlignment="1">
      <alignment horizontal="left"/>
    </xf>
    <xf numFmtId="0" fontId="0" fillId="2" borderId="16" xfId="0" applyFill="1" applyBorder="1" applyAlignment="1">
      <alignment horizontal="center" vertical="center"/>
    </xf>
    <xf numFmtId="49" fontId="0" fillId="2" borderId="16" xfId="0" applyNumberFormat="1" applyFill="1" applyBorder="1" applyAlignment="1">
      <alignment horizontal="center" vertical="center"/>
    </xf>
    <xf numFmtId="49" fontId="0" fillId="0" borderId="0" xfId="0" applyNumberFormat="1" applyAlignment="1">
      <alignment horizontal="center"/>
    </xf>
    <xf numFmtId="49" fontId="0" fillId="0" borderId="0" xfId="0" applyNumberFormat="1" applyAlignment="1">
      <alignment horizontal="left" indent="3"/>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left" indent="2"/>
    </xf>
    <xf numFmtId="0" fontId="0" fillId="0" borderId="5" xfId="0" applyBorder="1" applyAlignment="1">
      <alignment horizontal="left" indent="2"/>
    </xf>
    <xf numFmtId="0" fontId="64" fillId="0" borderId="7" xfId="0" applyFont="1" applyBorder="1" applyAlignment="1">
      <alignment vertical="top" wrapText="1"/>
    </xf>
    <xf numFmtId="0" fontId="68" fillId="2" borderId="7" xfId="0" applyFont="1" applyFill="1" applyBorder="1" applyAlignment="1">
      <alignment horizontal="left" vertical="center" indent="3"/>
    </xf>
    <xf numFmtId="0" fontId="68" fillId="2" borderId="7" xfId="0" applyFont="1" applyFill="1" applyBorder="1" applyAlignment="1">
      <alignment horizontal="left" vertical="center" wrapText="1" indent="3"/>
    </xf>
    <xf numFmtId="0" fontId="64" fillId="2" borderId="0" xfId="0" applyFont="1" applyFill="1" applyAlignment="1">
      <alignment horizontal="left" vertical="top" indent="3"/>
    </xf>
    <xf numFmtId="0" fontId="32" fillId="0" borderId="4" xfId="0" applyFont="1" applyBorder="1"/>
    <xf numFmtId="0" fontId="32" fillId="0" borderId="6" xfId="0" applyFont="1" applyBorder="1"/>
    <xf numFmtId="0" fontId="2" fillId="0" borderId="0" xfId="0" applyFont="1" applyAlignment="1">
      <alignment horizontal="center"/>
    </xf>
    <xf numFmtId="0" fontId="32" fillId="2" borderId="0" xfId="0" applyFont="1" applyFill="1"/>
    <xf numFmtId="49" fontId="32" fillId="2" borderId="0" xfId="0" applyNumberFormat="1" applyFont="1" applyFill="1" applyAlignment="1">
      <alignment horizontal="center" vertical="center"/>
    </xf>
    <xf numFmtId="0" fontId="0" fillId="0" borderId="1" xfId="0" applyBorder="1" applyAlignment="1">
      <alignment horizontal="left" indent="2"/>
    </xf>
    <xf numFmtId="0" fontId="0" fillId="0" borderId="3" xfId="0" applyBorder="1" applyAlignment="1">
      <alignment horizontal="left" indent="2"/>
    </xf>
    <xf numFmtId="0" fontId="77" fillId="2" borderId="68" xfId="0" applyFont="1" applyFill="1" applyBorder="1" applyAlignment="1">
      <alignment horizontal="left" vertical="top"/>
    </xf>
    <xf numFmtId="0" fontId="64" fillId="0" borderId="68" xfId="0" applyFont="1" applyBorder="1" applyAlignment="1">
      <alignment vertical="top" wrapText="1"/>
    </xf>
    <xf numFmtId="0" fontId="32" fillId="0" borderId="68" xfId="0" applyFont="1" applyBorder="1"/>
    <xf numFmtId="0" fontId="0" fillId="2" borderId="68" xfId="0" applyFill="1" applyBorder="1"/>
    <xf numFmtId="0" fontId="64" fillId="2" borderId="68" xfId="0" applyFont="1" applyFill="1" applyBorder="1" applyAlignment="1">
      <alignment horizontal="left" vertical="top" wrapText="1"/>
    </xf>
    <xf numFmtId="0" fontId="68" fillId="2" borderId="68" xfId="0" applyFont="1" applyFill="1" applyBorder="1" applyAlignment="1">
      <alignment horizontal="left" vertical="center"/>
    </xf>
    <xf numFmtId="0" fontId="68" fillId="2" borderId="68" xfId="0" applyFont="1" applyFill="1" applyBorder="1" applyAlignment="1">
      <alignment horizontal="left" vertical="center" wrapText="1"/>
    </xf>
    <xf numFmtId="0" fontId="32" fillId="0" borderId="0" xfId="0" applyFont="1" applyAlignment="1">
      <alignment horizontal="center"/>
    </xf>
    <xf numFmtId="0" fontId="32" fillId="0" borderId="0" xfId="0" applyFont="1" applyAlignment="1">
      <alignment horizontal="left"/>
    </xf>
    <xf numFmtId="49" fontId="32" fillId="0" borderId="0" xfId="0" applyNumberFormat="1" applyFont="1" applyAlignment="1">
      <alignment horizontal="center"/>
    </xf>
    <xf numFmtId="0" fontId="113" fillId="0" borderId="0" xfId="0" applyFont="1" applyAlignment="1">
      <alignment horizontal="left" vertical="top"/>
    </xf>
    <xf numFmtId="0" fontId="108" fillId="0" borderId="0" xfId="0" applyFont="1" applyAlignment="1">
      <alignment horizontal="left" vertical="top" indent="1"/>
    </xf>
    <xf numFmtId="0" fontId="114" fillId="9" borderId="0" xfId="0" applyFont="1" applyFill="1" applyAlignment="1">
      <alignment vertical="center"/>
    </xf>
    <xf numFmtId="0" fontId="34" fillId="9" borderId="0" xfId="0" applyFont="1" applyFill="1"/>
    <xf numFmtId="0" fontId="34" fillId="9" borderId="0" xfId="0" applyFont="1" applyFill="1" applyAlignment="1">
      <alignment horizontal="right"/>
    </xf>
    <xf numFmtId="0" fontId="114" fillId="9" borderId="48" xfId="0" applyFont="1" applyFill="1" applyBorder="1" applyAlignment="1">
      <alignment vertical="center"/>
    </xf>
    <xf numFmtId="0" fontId="34" fillId="9" borderId="48" xfId="0" applyFont="1" applyFill="1" applyBorder="1"/>
    <xf numFmtId="0" fontId="34" fillId="9" borderId="48" xfId="0" applyFont="1" applyFill="1" applyBorder="1" applyAlignment="1">
      <alignment horizontal="right"/>
    </xf>
    <xf numFmtId="9" fontId="64" fillId="0" borderId="14" xfId="0" applyNumberFormat="1" applyFont="1" applyBorder="1" applyAlignment="1">
      <alignment horizontal="center" vertical="top"/>
    </xf>
    <xf numFmtId="9" fontId="64" fillId="0" borderId="14" xfId="0" applyNumberFormat="1" applyFont="1" applyBorder="1" applyAlignment="1">
      <alignment horizontal="center" vertical="top" wrapText="1"/>
    </xf>
    <xf numFmtId="0" fontId="64" fillId="0" borderId="14" xfId="0" applyFont="1" applyBorder="1" applyAlignment="1">
      <alignment horizontal="center" vertical="center"/>
    </xf>
    <xf numFmtId="0" fontId="64" fillId="0" borderId="14" xfId="0" applyFont="1" applyBorder="1" applyAlignment="1">
      <alignment horizontal="center" vertical="center" wrapText="1"/>
    </xf>
    <xf numFmtId="0" fontId="68" fillId="3" borderId="14" xfId="0" applyFont="1" applyFill="1" applyBorder="1" applyAlignment="1">
      <alignment horizontal="center" vertical="top"/>
    </xf>
    <xf numFmtId="0" fontId="68" fillId="3" borderId="14" xfId="0" applyFont="1" applyFill="1" applyBorder="1" applyAlignment="1">
      <alignment horizontal="center" vertical="center"/>
    </xf>
    <xf numFmtId="0" fontId="2" fillId="3" borderId="1" xfId="0" applyFont="1" applyFill="1" applyBorder="1" applyAlignment="1">
      <alignment horizontal="left" indent="2"/>
    </xf>
    <xf numFmtId="0" fontId="2" fillId="3" borderId="2" xfId="0" applyFont="1" applyFill="1" applyBorder="1" applyAlignment="1">
      <alignment horizontal="center"/>
    </xf>
    <xf numFmtId="0" fontId="8" fillId="3" borderId="5" xfId="0" applyFont="1" applyFill="1" applyBorder="1" applyAlignment="1">
      <alignment horizontal="center"/>
    </xf>
    <xf numFmtId="49" fontId="2" fillId="3" borderId="16" xfId="0" applyNumberFormat="1" applyFont="1" applyFill="1" applyBorder="1" applyAlignment="1">
      <alignment horizontal="center"/>
    </xf>
    <xf numFmtId="0" fontId="108" fillId="3" borderId="8" xfId="0" applyFont="1" applyFill="1" applyBorder="1" applyAlignment="1">
      <alignment horizontal="left" vertical="center"/>
    </xf>
    <xf numFmtId="0" fontId="108" fillId="3" borderId="1" xfId="0" applyFont="1" applyFill="1" applyBorder="1" applyAlignment="1">
      <alignment horizontal="left" vertical="center"/>
    </xf>
    <xf numFmtId="0" fontId="108" fillId="3" borderId="9" xfId="0" applyFont="1" applyFill="1" applyBorder="1" applyAlignment="1">
      <alignment horizontal="left" vertical="center" indent="1"/>
    </xf>
    <xf numFmtId="0" fontId="108" fillId="3" borderId="10" xfId="0" applyFont="1" applyFill="1" applyBorder="1"/>
    <xf numFmtId="0" fontId="108" fillId="3" borderId="9" xfId="0" applyFont="1" applyFill="1" applyBorder="1" applyAlignment="1">
      <alignment horizontal="center" vertical="center"/>
    </xf>
    <xf numFmtId="0" fontId="32" fillId="0" borderId="3" xfId="0" applyFont="1" applyBorder="1" applyAlignment="1">
      <alignment horizontal="left" indent="1"/>
    </xf>
    <xf numFmtId="0" fontId="32" fillId="0" borderId="3" xfId="0" applyFont="1" applyBorder="1" applyAlignment="1">
      <alignment horizontal="center" vertical="center"/>
    </xf>
    <xf numFmtId="0" fontId="32" fillId="0" borderId="3" xfId="0" applyFont="1" applyBorder="1" applyAlignment="1">
      <alignment horizontal="center"/>
    </xf>
    <xf numFmtId="0" fontId="32" fillId="0" borderId="3" xfId="0" applyFont="1" applyBorder="1" applyAlignment="1">
      <alignment horizontal="left" indent="4"/>
    </xf>
    <xf numFmtId="0" fontId="32" fillId="0" borderId="5" xfId="0" applyFont="1" applyBorder="1" applyAlignment="1">
      <alignment horizontal="left" indent="1"/>
    </xf>
    <xf numFmtId="0" fontId="32" fillId="0" borderId="7" xfId="0" applyFont="1" applyBorder="1"/>
    <xf numFmtId="0" fontId="32" fillId="0" borderId="5" xfId="0" applyFont="1" applyBorder="1" applyAlignment="1">
      <alignment horizontal="center" vertical="center"/>
    </xf>
    <xf numFmtId="0" fontId="32" fillId="0" borderId="5" xfId="0" applyFont="1" applyBorder="1" applyAlignment="1">
      <alignment horizontal="center"/>
    </xf>
    <xf numFmtId="0" fontId="32" fillId="0" borderId="5" xfId="0" applyFont="1" applyBorder="1" applyAlignment="1">
      <alignment horizontal="left" indent="4"/>
    </xf>
    <xf numFmtId="0" fontId="101" fillId="0" borderId="0" xfId="0" applyFont="1" applyAlignment="1">
      <alignment vertical="top"/>
    </xf>
    <xf numFmtId="0" fontId="115" fillId="2" borderId="0" xfId="0" applyFont="1" applyFill="1"/>
    <xf numFmtId="0" fontId="64" fillId="0" borderId="7" xfId="0" applyFont="1" applyBorder="1"/>
    <xf numFmtId="0" fontId="78" fillId="2" borderId="7" xfId="0" applyFont="1" applyFill="1" applyBorder="1" applyAlignment="1">
      <alignment horizontal="left" vertical="center" wrapText="1" indent="1"/>
    </xf>
    <xf numFmtId="0" fontId="31" fillId="6" borderId="0" xfId="0" applyFont="1" applyFill="1" applyAlignment="1">
      <alignment horizontal="left" vertical="center" indent="1"/>
    </xf>
    <xf numFmtId="0" fontId="40" fillId="6" borderId="0" xfId="0" applyFont="1" applyFill="1" applyAlignment="1">
      <alignment horizontal="left" vertical="center" indent="1"/>
    </xf>
    <xf numFmtId="0" fontId="2" fillId="6" borderId="0" xfId="0" applyFont="1" applyFill="1" applyAlignment="1">
      <alignment horizontal="left" indent="2"/>
    </xf>
    <xf numFmtId="0" fontId="72" fillId="6" borderId="0" xfId="0" applyFont="1" applyFill="1"/>
    <xf numFmtId="165" fontId="40" fillId="6" borderId="24" xfId="0" applyNumberFormat="1" applyFont="1" applyFill="1" applyBorder="1" applyAlignment="1">
      <alignment horizontal="left" indent="1"/>
    </xf>
    <xf numFmtId="171" fontId="28" fillId="6" borderId="69" xfId="0" applyNumberFormat="1" applyFont="1" applyFill="1" applyBorder="1" applyAlignment="1">
      <alignment horizontal="center"/>
    </xf>
    <xf numFmtId="164" fontId="28" fillId="6" borderId="70" xfId="0" applyNumberFormat="1" applyFont="1" applyFill="1" applyBorder="1" applyAlignment="1">
      <alignment vertical="center"/>
    </xf>
    <xf numFmtId="10" fontId="0" fillId="0" borderId="0" xfId="0" applyNumberFormat="1"/>
    <xf numFmtId="0" fontId="9" fillId="3" borderId="9" xfId="0" applyFont="1" applyFill="1" applyBorder="1" applyAlignment="1">
      <alignment horizontal="left" vertical="center" indent="1"/>
    </xf>
    <xf numFmtId="0" fontId="9" fillId="3" borderId="10" xfId="0" applyFont="1" applyFill="1" applyBorder="1" applyAlignment="1">
      <alignment horizontal="left" vertical="center" indent="1"/>
    </xf>
    <xf numFmtId="0" fontId="9" fillId="3" borderId="11" xfId="0" applyFont="1" applyFill="1" applyBorder="1" applyAlignment="1">
      <alignment horizontal="left" vertical="center" indent="1"/>
    </xf>
    <xf numFmtId="0" fontId="64" fillId="2" borderId="72" xfId="0" applyFont="1" applyFill="1" applyBorder="1"/>
    <xf numFmtId="0" fontId="64" fillId="2" borderId="73" xfId="0" applyFont="1" applyFill="1" applyBorder="1"/>
    <xf numFmtId="0" fontId="70" fillId="2" borderId="74" xfId="0" applyFont="1" applyFill="1" applyBorder="1"/>
    <xf numFmtId="0" fontId="64" fillId="2" borderId="75" xfId="0" applyFont="1" applyFill="1" applyBorder="1"/>
    <xf numFmtId="0" fontId="64" fillId="2" borderId="74" xfId="0" applyFont="1" applyFill="1" applyBorder="1"/>
    <xf numFmtId="0" fontId="55" fillId="2" borderId="0" xfId="0" applyFont="1" applyFill="1"/>
    <xf numFmtId="0" fontId="64" fillId="2" borderId="0" xfId="0" applyFont="1" applyFill="1" applyAlignment="1">
      <alignment horizontal="left" indent="5"/>
    </xf>
    <xf numFmtId="0" fontId="92" fillId="2" borderId="0" xfId="0" applyFont="1" applyFill="1"/>
    <xf numFmtId="0" fontId="70" fillId="2" borderId="0" xfId="0" applyFont="1" applyFill="1"/>
    <xf numFmtId="0" fontId="55" fillId="2" borderId="0" xfId="0" applyFont="1" applyFill="1" applyAlignment="1">
      <alignment vertical="center"/>
    </xf>
    <xf numFmtId="0" fontId="70" fillId="2" borderId="0" xfId="0" applyFont="1" applyFill="1" applyAlignment="1">
      <alignment horizontal="center"/>
    </xf>
    <xf numFmtId="0" fontId="70" fillId="2" borderId="75" xfId="0" applyFont="1" applyFill="1" applyBorder="1"/>
    <xf numFmtId="0" fontId="64" fillId="2" borderId="76" xfId="0" applyFont="1" applyFill="1" applyBorder="1"/>
    <xf numFmtId="0" fontId="64" fillId="2" borderId="77" xfId="0" applyFont="1" applyFill="1" applyBorder="1"/>
    <xf numFmtId="0" fontId="64" fillId="2" borderId="77" xfId="0" applyFont="1" applyFill="1" applyBorder="1" applyAlignment="1">
      <alignment horizontal="center"/>
    </xf>
    <xf numFmtId="0" fontId="64" fillId="2" borderId="78" xfId="0" applyFont="1" applyFill="1" applyBorder="1"/>
    <xf numFmtId="0" fontId="64" fillId="2" borderId="71" xfId="0" applyFont="1" applyFill="1" applyBorder="1"/>
    <xf numFmtId="0" fontId="64" fillId="2" borderId="72" xfId="0" applyFont="1" applyFill="1" applyBorder="1" applyAlignment="1">
      <alignment horizontal="center"/>
    </xf>
    <xf numFmtId="0" fontId="77" fillId="2" borderId="0" xfId="0" applyFont="1" applyFill="1" applyAlignment="1">
      <alignment horizontal="left"/>
    </xf>
    <xf numFmtId="172" fontId="64" fillId="2" borderId="0" xfId="0" applyNumberFormat="1" applyFont="1" applyFill="1" applyAlignment="1">
      <alignment horizontal="center"/>
    </xf>
    <xf numFmtId="49" fontId="64" fillId="2" borderId="0" xfId="0" applyNumberFormat="1" applyFont="1" applyFill="1"/>
    <xf numFmtId="0" fontId="42" fillId="2" borderId="0" xfId="0" applyFont="1" applyFill="1"/>
    <xf numFmtId="0" fontId="64" fillId="2" borderId="79" xfId="0" applyFont="1" applyFill="1" applyBorder="1"/>
    <xf numFmtId="0" fontId="64" fillId="2" borderId="79" xfId="0" applyFont="1" applyFill="1" applyBorder="1" applyAlignment="1">
      <alignment horizontal="center"/>
    </xf>
    <xf numFmtId="0" fontId="80" fillId="9" borderId="0" xfId="0" applyFont="1" applyFill="1"/>
    <xf numFmtId="0" fontId="80" fillId="9" borderId="48" xfId="0" applyFont="1" applyFill="1" applyBorder="1"/>
    <xf numFmtId="0" fontId="0" fillId="9" borderId="80" xfId="0" applyFill="1" applyBorder="1"/>
    <xf numFmtId="0" fontId="0" fillId="9" borderId="80" xfId="0" applyFill="1" applyBorder="1" applyAlignment="1">
      <alignment horizontal="right"/>
    </xf>
    <xf numFmtId="0" fontId="28" fillId="6" borderId="24" xfId="0" applyFont="1" applyFill="1" applyBorder="1" applyAlignment="1">
      <alignment horizontal="left" vertical="center" indent="1"/>
    </xf>
    <xf numFmtId="3" fontId="64" fillId="2" borderId="0" xfId="0" applyNumberFormat="1" applyFont="1" applyFill="1" applyAlignment="1" applyProtection="1">
      <alignment horizontal="center" vertical="center"/>
      <protection locked="0"/>
    </xf>
    <xf numFmtId="10" fontId="0" fillId="0" borderId="0" xfId="0" applyNumberFormat="1" applyAlignment="1">
      <alignment horizontal="center"/>
    </xf>
    <xf numFmtId="164" fontId="11" fillId="0" borderId="0" xfId="0" applyNumberFormat="1" applyFont="1" applyAlignment="1" applyProtection="1">
      <alignment horizontal="center" vertical="center"/>
      <protection locked="0"/>
    </xf>
    <xf numFmtId="0" fontId="58" fillId="6" borderId="56" xfId="0" applyFont="1" applyFill="1" applyBorder="1" applyAlignment="1">
      <alignment horizontal="left" vertical="center" indent="1"/>
    </xf>
    <xf numFmtId="9" fontId="59" fillId="6" borderId="0" xfId="0" applyNumberFormat="1" applyFont="1" applyFill="1" applyAlignment="1">
      <alignment horizontal="left" indent="1"/>
    </xf>
    <xf numFmtId="3" fontId="59" fillId="6" borderId="0" xfId="0" applyNumberFormat="1" applyFont="1" applyFill="1" applyAlignment="1">
      <alignment horizontal="left" indent="1"/>
    </xf>
    <xf numFmtId="3" fontId="64" fillId="6" borderId="0" xfId="0" applyNumberFormat="1" applyFont="1" applyFill="1" applyAlignment="1" applyProtection="1">
      <alignment horizontal="center" vertical="center"/>
      <protection locked="0"/>
    </xf>
    <xf numFmtId="0" fontId="28" fillId="2" borderId="0" xfId="0" applyFont="1" applyFill="1" applyAlignment="1">
      <alignment vertical="center"/>
    </xf>
    <xf numFmtId="9" fontId="28" fillId="2" borderId="0" xfId="0" applyNumberFormat="1" applyFont="1" applyFill="1"/>
    <xf numFmtId="164" fontId="28" fillId="2" borderId="0" xfId="0" applyNumberFormat="1" applyFont="1" applyFill="1" applyAlignment="1">
      <alignment vertical="center"/>
    </xf>
    <xf numFmtId="167" fontId="0" fillId="0" borderId="0" xfId="0" applyNumberFormat="1" applyAlignment="1">
      <alignment horizontal="left"/>
    </xf>
    <xf numFmtId="171" fontId="28" fillId="2" borderId="0" xfId="0" applyNumberFormat="1" applyFont="1" applyFill="1" applyAlignment="1">
      <alignment horizontal="center"/>
    </xf>
    <xf numFmtId="0" fontId="27" fillId="2" borderId="0" xfId="0" applyFont="1" applyFill="1"/>
    <xf numFmtId="0" fontId="8" fillId="2" borderId="7" xfId="0" applyFont="1" applyFill="1" applyBorder="1"/>
    <xf numFmtId="2" fontId="0" fillId="0" borderId="0" xfId="0" applyNumberFormat="1"/>
    <xf numFmtId="9" fontId="59" fillId="6" borderId="57" xfId="0" applyNumberFormat="1" applyFont="1" applyFill="1" applyBorder="1" applyAlignment="1">
      <alignment horizontal="right" vertical="center"/>
    </xf>
    <xf numFmtId="10" fontId="59" fillId="6" borderId="57" xfId="0" applyNumberFormat="1" applyFont="1" applyFill="1" applyBorder="1" applyAlignment="1">
      <alignment horizontal="right" vertical="center"/>
    </xf>
    <xf numFmtId="3" fontId="59" fillId="6" borderId="61" xfId="0" applyNumberFormat="1" applyFont="1" applyFill="1" applyBorder="1" applyAlignment="1">
      <alignment horizontal="left" indent="1"/>
    </xf>
    <xf numFmtId="0" fontId="32" fillId="3" borderId="10" xfId="0" applyFont="1" applyFill="1" applyBorder="1" applyAlignment="1">
      <alignment horizontal="left" vertical="center" indent="1"/>
    </xf>
    <xf numFmtId="0" fontId="32" fillId="3" borderId="11" xfId="0" applyFont="1" applyFill="1" applyBorder="1" applyAlignment="1">
      <alignment horizontal="left" vertical="center" indent="1"/>
    </xf>
    <xf numFmtId="0" fontId="108" fillId="2" borderId="7" xfId="0" applyFont="1" applyFill="1" applyBorder="1"/>
    <xf numFmtId="0" fontId="32" fillId="2" borderId="7" xfId="0" applyFont="1" applyFill="1" applyBorder="1"/>
    <xf numFmtId="0" fontId="44" fillId="6" borderId="0" xfId="0" applyFont="1" applyFill="1" applyAlignment="1">
      <alignment vertical="center"/>
    </xf>
    <xf numFmtId="0" fontId="45" fillId="6" borderId="0" xfId="0" applyFont="1" applyFill="1" applyAlignment="1">
      <alignment vertical="center"/>
    </xf>
    <xf numFmtId="0" fontId="125" fillId="6" borderId="0" xfId="0" applyFont="1" applyFill="1"/>
    <xf numFmtId="0" fontId="88" fillId="10" borderId="0" xfId="0" applyFont="1" applyFill="1"/>
    <xf numFmtId="0" fontId="33" fillId="10" borderId="0" xfId="0" applyFont="1" applyFill="1"/>
    <xf numFmtId="0" fontId="93" fillId="10" borderId="0" xfId="0" applyFont="1" applyFill="1" applyAlignment="1">
      <alignment vertical="top"/>
    </xf>
    <xf numFmtId="0" fontId="33" fillId="10" borderId="48" xfId="0" applyFont="1" applyFill="1" applyBorder="1"/>
    <xf numFmtId="0" fontId="33" fillId="10" borderId="48" xfId="0" applyFont="1" applyFill="1" applyBorder="1" applyAlignment="1">
      <alignment horizontal="left" indent="2"/>
    </xf>
    <xf numFmtId="0" fontId="135" fillId="9" borderId="0" xfId="0" applyFont="1" applyFill="1" applyAlignment="1">
      <alignment vertical="top"/>
    </xf>
    <xf numFmtId="0" fontId="31" fillId="6" borderId="0" xfId="0" applyFont="1" applyFill="1" applyAlignment="1">
      <alignment horizontal="center"/>
    </xf>
    <xf numFmtId="9" fontId="31" fillId="6" borderId="35" xfId="0" applyNumberFormat="1" applyFont="1" applyFill="1" applyBorder="1" applyAlignment="1">
      <alignment horizontal="center" vertical="center"/>
    </xf>
    <xf numFmtId="9" fontId="31" fillId="6" borderId="37" xfId="0" applyNumberFormat="1" applyFont="1" applyFill="1" applyBorder="1" applyAlignment="1">
      <alignment horizontal="center" vertical="center"/>
    </xf>
    <xf numFmtId="9" fontId="31" fillId="6" borderId="39" xfId="0" applyNumberFormat="1" applyFont="1" applyFill="1" applyBorder="1" applyAlignment="1">
      <alignment horizontal="center" vertical="center"/>
    </xf>
    <xf numFmtId="177" fontId="31" fillId="6" borderId="34" xfId="0" applyNumberFormat="1" applyFont="1" applyFill="1" applyBorder="1"/>
    <xf numFmtId="177" fontId="31" fillId="6" borderId="0" xfId="0" applyNumberFormat="1" applyFont="1" applyFill="1"/>
    <xf numFmtId="177" fontId="31" fillId="6" borderId="18" xfId="0" applyNumberFormat="1" applyFont="1" applyFill="1" applyBorder="1"/>
    <xf numFmtId="0" fontId="64" fillId="0" borderId="86" xfId="0" applyFont="1" applyBorder="1" applyAlignment="1" applyProtection="1">
      <alignment horizontal="left" indent="2"/>
      <protection locked="0"/>
    </xf>
    <xf numFmtId="0" fontId="64" fillId="0" borderId="87" xfId="0" applyFont="1" applyBorder="1" applyAlignment="1" applyProtection="1">
      <alignment horizontal="left" indent="2"/>
      <protection locked="0"/>
    </xf>
    <xf numFmtId="0" fontId="40" fillId="6" borderId="82" xfId="0" applyFont="1" applyFill="1" applyBorder="1" applyAlignment="1">
      <alignment horizontal="left" indent="2"/>
    </xf>
    <xf numFmtId="0" fontId="40" fillId="6" borderId="83" xfId="0" applyFont="1" applyFill="1" applyBorder="1" applyAlignment="1">
      <alignment horizontal="left" indent="2"/>
    </xf>
    <xf numFmtId="0" fontId="40" fillId="6" borderId="84" xfId="0" applyFont="1" applyFill="1" applyBorder="1" applyAlignment="1">
      <alignment horizontal="left" indent="2"/>
    </xf>
    <xf numFmtId="3" fontId="64" fillId="0" borderId="35" xfId="0" applyNumberFormat="1" applyFont="1" applyBorder="1" applyAlignment="1" applyProtection="1">
      <alignment horizontal="center"/>
      <protection locked="0"/>
    </xf>
    <xf numFmtId="3" fontId="64" fillId="0" borderId="88" xfId="0" applyNumberFormat="1" applyFont="1" applyBorder="1" applyAlignment="1" applyProtection="1">
      <alignment horizontal="center"/>
      <protection locked="0"/>
    </xf>
    <xf numFmtId="3" fontId="64" fillId="0" borderId="85" xfId="0" applyNumberFormat="1" applyFont="1" applyBorder="1" applyAlignment="1" applyProtection="1">
      <alignment horizontal="center"/>
      <protection locked="0"/>
    </xf>
    <xf numFmtId="3" fontId="64" fillId="0" borderId="37" xfId="0" applyNumberFormat="1" applyFont="1" applyBorder="1" applyAlignment="1" applyProtection="1">
      <alignment horizontal="center"/>
      <protection locked="0"/>
    </xf>
    <xf numFmtId="169" fontId="64" fillId="0" borderId="88" xfId="0" applyNumberFormat="1" applyFont="1" applyBorder="1" applyAlignment="1" applyProtection="1">
      <alignment horizontal="center"/>
      <protection locked="0"/>
    </xf>
    <xf numFmtId="3" fontId="64" fillId="0" borderId="89" xfId="0" applyNumberFormat="1" applyFont="1" applyBorder="1" applyAlignment="1" applyProtection="1">
      <alignment horizontal="center"/>
      <protection locked="0"/>
    </xf>
    <xf numFmtId="169" fontId="64" fillId="0" borderId="89" xfId="0" applyNumberFormat="1" applyFont="1" applyBorder="1" applyAlignment="1" applyProtection="1">
      <alignment horizontal="center" vertical="center"/>
      <protection locked="0"/>
    </xf>
    <xf numFmtId="169" fontId="64" fillId="0" borderId="39" xfId="0" applyNumberFormat="1" applyFont="1" applyBorder="1" applyAlignment="1" applyProtection="1">
      <alignment horizontal="center" vertical="center"/>
      <protection locked="0"/>
    </xf>
    <xf numFmtId="3" fontId="31" fillId="6" borderId="0" xfId="0" applyNumberFormat="1" applyFont="1" applyFill="1" applyAlignment="1">
      <alignment horizontal="left" indent="1"/>
    </xf>
    <xf numFmtId="0" fontId="40" fillId="6" borderId="33" xfId="0" applyFont="1" applyFill="1" applyBorder="1" applyAlignment="1">
      <alignment horizontal="left" indent="2"/>
    </xf>
    <xf numFmtId="1" fontId="31" fillId="6" borderId="0" xfId="0" applyNumberFormat="1" applyFont="1" applyFill="1" applyAlignment="1">
      <alignment horizontal="left" indent="1"/>
    </xf>
    <xf numFmtId="0" fontId="40" fillId="6" borderId="36" xfId="0" applyFont="1" applyFill="1" applyBorder="1" applyAlignment="1">
      <alignment horizontal="left" indent="2"/>
    </xf>
    <xf numFmtId="0" fontId="40" fillId="6" borderId="38" xfId="0" applyFont="1" applyFill="1" applyBorder="1" applyAlignment="1">
      <alignment horizontal="left" indent="2"/>
    </xf>
    <xf numFmtId="165" fontId="40" fillId="6" borderId="0" xfId="0" applyNumberFormat="1" applyFont="1" applyFill="1" applyAlignment="1">
      <alignment horizontal="left" indent="1"/>
    </xf>
    <xf numFmtId="3" fontId="31" fillId="6" borderId="37" xfId="0" applyNumberFormat="1" applyFont="1" applyFill="1" applyBorder="1" applyAlignment="1">
      <alignment horizontal="center"/>
    </xf>
    <xf numFmtId="169" fontId="31" fillId="6" borderId="37" xfId="0" applyNumberFormat="1" applyFont="1" applyFill="1" applyBorder="1" applyAlignment="1">
      <alignment horizontal="center"/>
    </xf>
    <xf numFmtId="169" fontId="31" fillId="6" borderId="39" xfId="0" applyNumberFormat="1" applyFont="1" applyFill="1" applyBorder="1" applyAlignment="1">
      <alignment horizontal="center"/>
    </xf>
    <xf numFmtId="0" fontId="40" fillId="6" borderId="34" xfId="0" applyFont="1" applyFill="1" applyBorder="1" applyAlignment="1">
      <alignment horizontal="left" indent="2"/>
    </xf>
    <xf numFmtId="3" fontId="31" fillId="6" borderId="35" xfId="0" applyNumberFormat="1" applyFont="1" applyFill="1" applyBorder="1" applyAlignment="1">
      <alignment horizontal="center"/>
    </xf>
    <xf numFmtId="3" fontId="31" fillId="6" borderId="39" xfId="0" applyNumberFormat="1" applyFont="1" applyFill="1" applyBorder="1" applyAlignment="1">
      <alignment horizontal="center"/>
    </xf>
    <xf numFmtId="0" fontId="38" fillId="6" borderId="0" xfId="0" applyFont="1" applyFill="1" applyAlignment="1">
      <alignment horizontal="left" vertical="top"/>
    </xf>
    <xf numFmtId="9" fontId="38" fillId="6" borderId="0" xfId="0" applyNumberFormat="1" applyFont="1" applyFill="1" applyAlignment="1">
      <alignment horizontal="center"/>
    </xf>
    <xf numFmtId="0" fontId="138" fillId="6" borderId="0" xfId="0" applyFont="1" applyFill="1" applyAlignment="1">
      <alignment horizontal="right" indent="1"/>
    </xf>
    <xf numFmtId="0" fontId="139" fillId="6" borderId="0" xfId="0" applyFont="1" applyFill="1"/>
    <xf numFmtId="0" fontId="140" fillId="6" borderId="0" xfId="0" applyFont="1" applyFill="1"/>
    <xf numFmtId="0" fontId="139" fillId="6" borderId="36" xfId="0" applyFont="1" applyFill="1" applyBorder="1"/>
    <xf numFmtId="0" fontId="139" fillId="0" borderId="0" xfId="0" applyFont="1"/>
    <xf numFmtId="177" fontId="31" fillId="6" borderId="83" xfId="0" applyNumberFormat="1" applyFont="1" applyFill="1" applyBorder="1" applyAlignment="1">
      <alignment horizontal="center" vertical="center"/>
    </xf>
    <xf numFmtId="177" fontId="31" fillId="6" borderId="84" xfId="0" applyNumberFormat="1" applyFont="1" applyFill="1" applyBorder="1" applyAlignment="1">
      <alignment horizontal="center" vertical="center"/>
    </xf>
    <xf numFmtId="10" fontId="31" fillId="6" borderId="0" xfId="0" applyNumberFormat="1" applyFont="1" applyFill="1" applyAlignment="1">
      <alignment horizontal="center" vertical="center"/>
    </xf>
    <xf numFmtId="0" fontId="44" fillId="6" borderId="0" xfId="0" applyFont="1" applyFill="1" applyAlignment="1">
      <alignment horizontal="left" vertical="center" indent="5"/>
    </xf>
    <xf numFmtId="0" fontId="64" fillId="7" borderId="14" xfId="0" applyFont="1" applyFill="1" applyBorder="1" applyAlignment="1" applyProtection="1">
      <alignment horizontal="center" vertical="center"/>
      <protection locked="0"/>
    </xf>
    <xf numFmtId="0" fontId="133" fillId="11" borderId="0" xfId="1" applyFont="1" applyFill="1" applyBorder="1"/>
    <xf numFmtId="0" fontId="124" fillId="11" borderId="0" xfId="1" applyFont="1" applyFill="1" applyBorder="1" applyAlignment="1">
      <alignment horizontal="left"/>
    </xf>
    <xf numFmtId="0" fontId="141" fillId="2" borderId="0" xfId="0" applyFont="1" applyFill="1" applyAlignment="1">
      <alignment horizontal="left" vertical="center" indent="3"/>
    </xf>
    <xf numFmtId="0" fontId="34" fillId="0" borderId="90" xfId="0" applyFont="1" applyBorder="1"/>
    <xf numFmtId="0" fontId="55" fillId="2" borderId="91" xfId="0" applyFont="1" applyFill="1" applyBorder="1"/>
    <xf numFmtId="0" fontId="0" fillId="0" borderId="91" xfId="0" applyBorder="1"/>
    <xf numFmtId="0" fontId="55" fillId="2" borderId="92" xfId="0" applyFont="1" applyFill="1" applyBorder="1"/>
    <xf numFmtId="0" fontId="34" fillId="11" borderId="93" xfId="0" applyFont="1" applyFill="1" applyBorder="1"/>
    <xf numFmtId="0" fontId="34" fillId="11" borderId="0" xfId="0" applyFont="1" applyFill="1"/>
    <xf numFmtId="0" fontId="126" fillId="11" borderId="0" xfId="0" applyFont="1" applyFill="1"/>
    <xf numFmtId="0" fontId="124" fillId="11" borderId="0" xfId="0" applyFont="1" applyFill="1"/>
    <xf numFmtId="0" fontId="34" fillId="0" borderId="93" xfId="0" applyFont="1" applyBorder="1"/>
    <xf numFmtId="0" fontId="64" fillId="2" borderId="94" xfId="0" applyFont="1" applyFill="1" applyBorder="1"/>
    <xf numFmtId="0" fontId="142" fillId="0" borderId="0" xfId="1" applyFont="1" applyBorder="1"/>
    <xf numFmtId="0" fontId="142" fillId="2" borderId="0" xfId="1" applyFont="1" applyFill="1" applyBorder="1" applyAlignment="1">
      <alignment horizontal="left" indent="2"/>
    </xf>
    <xf numFmtId="0" fontId="142" fillId="2" borderId="0" xfId="0" applyFont="1" applyFill="1"/>
    <xf numFmtId="0" fontId="142" fillId="2" borderId="0" xfId="1" applyFont="1" applyFill="1" applyBorder="1" applyAlignment="1">
      <alignment horizontal="left" indent="1"/>
    </xf>
    <xf numFmtId="0" fontId="0" fillId="11" borderId="0" xfId="0" applyFill="1"/>
    <xf numFmtId="0" fontId="28" fillId="11" borderId="0" xfId="0" applyFont="1" applyFill="1"/>
    <xf numFmtId="0" fontId="27" fillId="11" borderId="18" xfId="0" applyFont="1" applyFill="1" applyBorder="1"/>
    <xf numFmtId="0" fontId="28" fillId="11" borderId="0" xfId="0" applyFont="1" applyFill="1" applyAlignment="1">
      <alignment horizontal="left"/>
    </xf>
    <xf numFmtId="0" fontId="0" fillId="11" borderId="0" xfId="0" applyFill="1" applyAlignment="1">
      <alignment horizontal="center"/>
    </xf>
    <xf numFmtId="0" fontId="28" fillId="11" borderId="18" xfId="0" quotePrefix="1" applyFont="1" applyFill="1" applyBorder="1" applyAlignment="1">
      <alignment horizontal="left"/>
    </xf>
    <xf numFmtId="0" fontId="0" fillId="11" borderId="18" xfId="0" applyFill="1" applyBorder="1"/>
    <xf numFmtId="0" fontId="32" fillId="11" borderId="0" xfId="0" applyFont="1" applyFill="1"/>
    <xf numFmtId="0" fontId="27" fillId="11" borderId="18" xfId="0" applyFont="1" applyFill="1" applyBorder="1" applyAlignment="1">
      <alignment horizontal="left"/>
    </xf>
    <xf numFmtId="166" fontId="0" fillId="11" borderId="18" xfId="0" applyNumberFormat="1" applyFill="1" applyBorder="1" applyAlignment="1">
      <alignment horizontal="center"/>
    </xf>
    <xf numFmtId="166" fontId="0" fillId="11" borderId="0" xfId="0" applyNumberFormat="1" applyFill="1" applyAlignment="1">
      <alignment horizontal="center"/>
    </xf>
    <xf numFmtId="0" fontId="0" fillId="11" borderId="18" xfId="0" applyFill="1" applyBorder="1" applyAlignment="1">
      <alignment horizontal="left" vertical="center"/>
    </xf>
    <xf numFmtId="0" fontId="65" fillId="11" borderId="0" xfId="0" applyFont="1" applyFill="1" applyAlignment="1">
      <alignment horizontal="left" indent="1"/>
    </xf>
    <xf numFmtId="0" fontId="31" fillId="11" borderId="0" xfId="0" applyFont="1" applyFill="1"/>
    <xf numFmtId="0" fontId="59" fillId="11" borderId="0" xfId="0" applyFont="1" applyFill="1"/>
    <xf numFmtId="0" fontId="31" fillId="11" borderId="0" xfId="0" applyFont="1" applyFill="1" applyAlignment="1">
      <alignment horizontal="center"/>
    </xf>
    <xf numFmtId="0" fontId="31" fillId="11" borderId="0" xfId="0" applyFont="1" applyFill="1" applyAlignment="1">
      <alignment horizontal="left" indent="1"/>
    </xf>
    <xf numFmtId="1" fontId="31" fillId="11" borderId="0" xfId="0" applyNumberFormat="1" applyFont="1" applyFill="1" applyAlignment="1">
      <alignment horizontal="right"/>
    </xf>
    <xf numFmtId="165" fontId="59" fillId="11" borderId="0" xfId="0" applyNumberFormat="1" applyFont="1" applyFill="1"/>
    <xf numFmtId="0" fontId="31" fillId="11" borderId="0" xfId="0" applyFont="1" applyFill="1" applyAlignment="1">
      <alignment horizontal="left" indent="3"/>
    </xf>
    <xf numFmtId="3" fontId="31" fillId="11" borderId="0" xfId="0" applyNumberFormat="1" applyFont="1" applyFill="1" applyAlignment="1">
      <alignment horizontal="center"/>
    </xf>
    <xf numFmtId="165" fontId="31" fillId="11" borderId="0" xfId="0" applyNumberFormat="1" applyFont="1" applyFill="1" applyAlignment="1">
      <alignment horizontal="right"/>
    </xf>
    <xf numFmtId="164" fontId="59" fillId="11" borderId="0" xfId="0" applyNumberFormat="1" applyFont="1" applyFill="1" applyAlignment="1">
      <alignment horizontal="right"/>
    </xf>
    <xf numFmtId="9" fontId="64" fillId="11" borderId="0" xfId="0" applyNumberFormat="1" applyFont="1" applyFill="1"/>
    <xf numFmtId="3" fontId="64" fillId="11" borderId="0" xfId="0" applyNumberFormat="1" applyFont="1" applyFill="1"/>
    <xf numFmtId="164" fontId="64" fillId="11" borderId="0" xfId="0" applyNumberFormat="1" applyFont="1" applyFill="1" applyAlignment="1">
      <alignment horizontal="center"/>
    </xf>
    <xf numFmtId="3" fontId="59" fillId="11" borderId="0" xfId="0" applyNumberFormat="1" applyFont="1" applyFill="1"/>
    <xf numFmtId="0" fontId="31" fillId="11" borderId="0" xfId="0" applyFont="1" applyFill="1" applyAlignment="1">
      <alignment horizontal="left" vertical="center" indent="3"/>
    </xf>
    <xf numFmtId="165" fontId="40" fillId="11" borderId="0" xfId="0" applyNumberFormat="1" applyFont="1" applyFill="1" applyAlignment="1">
      <alignment horizontal="left"/>
    </xf>
    <xf numFmtId="9" fontId="59" fillId="11" borderId="23" xfId="0" applyNumberFormat="1" applyFont="1" applyFill="1" applyBorder="1" applyAlignment="1">
      <alignment horizontal="right"/>
    </xf>
    <xf numFmtId="0" fontId="32" fillId="11" borderId="24" xfId="0" applyFont="1" applyFill="1" applyBorder="1"/>
    <xf numFmtId="164" fontId="59" fillId="11" borderId="23" xfId="0" applyNumberFormat="1" applyFont="1" applyFill="1" applyBorder="1" applyAlignment="1">
      <alignment horizontal="right"/>
    </xf>
    <xf numFmtId="10" fontId="59" fillId="11" borderId="25" xfId="0" applyNumberFormat="1" applyFont="1" applyFill="1" applyBorder="1" applyAlignment="1">
      <alignment horizontal="right"/>
    </xf>
    <xf numFmtId="0" fontId="59" fillId="11" borderId="19" xfId="0" applyFont="1" applyFill="1" applyBorder="1"/>
    <xf numFmtId="0" fontId="32" fillId="11" borderId="26" xfId="0" applyFont="1" applyFill="1" applyBorder="1"/>
    <xf numFmtId="9" fontId="65" fillId="11" borderId="0" xfId="0" applyNumberFormat="1" applyFont="1" applyFill="1" applyAlignment="1">
      <alignment horizontal="center" vertical="center"/>
    </xf>
    <xf numFmtId="0" fontId="0" fillId="11" borderId="23" xfId="0" applyFill="1" applyBorder="1"/>
    <xf numFmtId="0" fontId="0" fillId="11" borderId="24" xfId="0" applyFill="1" applyBorder="1"/>
    <xf numFmtId="0" fontId="28" fillId="11" borderId="0" xfId="0" quotePrefix="1" applyFont="1" applyFill="1" applyAlignment="1">
      <alignment horizontal="left"/>
    </xf>
    <xf numFmtId="0" fontId="28" fillId="11" borderId="23" xfId="0" applyFont="1" applyFill="1" applyBorder="1"/>
    <xf numFmtId="0" fontId="28" fillId="11" borderId="0" xfId="0" quotePrefix="1" applyFont="1" applyFill="1" applyAlignment="1">
      <alignment horizontal="left" vertical="top"/>
    </xf>
    <xf numFmtId="0" fontId="27" fillId="11" borderId="0" xfId="0" applyFont="1" applyFill="1" applyAlignment="1">
      <alignment horizontal="center" vertical="center"/>
    </xf>
    <xf numFmtId="0" fontId="28" fillId="11" borderId="24" xfId="0" applyFont="1" applyFill="1" applyBorder="1"/>
    <xf numFmtId="0" fontId="2" fillId="11" borderId="23" xfId="0" applyFont="1" applyFill="1" applyBorder="1" applyAlignment="1">
      <alignment vertical="center"/>
    </xf>
    <xf numFmtId="0" fontId="28" fillId="11" borderId="0" xfId="0" applyFont="1" applyFill="1" applyAlignment="1">
      <alignment horizontal="left" vertical="top"/>
    </xf>
    <xf numFmtId="0" fontId="0" fillId="11" borderId="25" xfId="0" applyFill="1" applyBorder="1"/>
    <xf numFmtId="0" fontId="28" fillId="11" borderId="19" xfId="0" applyFont="1" applyFill="1" applyBorder="1"/>
    <xf numFmtId="0" fontId="0" fillId="11" borderId="19" xfId="0" applyFill="1" applyBorder="1" applyAlignment="1">
      <alignment horizontal="center"/>
    </xf>
    <xf numFmtId="0" fontId="0" fillId="11" borderId="26" xfId="0" applyFill="1" applyBorder="1"/>
    <xf numFmtId="0" fontId="2" fillId="2" borderId="0" xfId="0" applyFont="1" applyFill="1"/>
    <xf numFmtId="0" fontId="0" fillId="2" borderId="48" xfId="0" applyFill="1" applyBorder="1"/>
    <xf numFmtId="0" fontId="143" fillId="2" borderId="0" xfId="0" applyFont="1" applyFill="1"/>
    <xf numFmtId="0" fontId="143" fillId="2" borderId="48" xfId="0" applyFont="1" applyFill="1" applyBorder="1"/>
    <xf numFmtId="0" fontId="144" fillId="2" borderId="0" xfId="0" applyFont="1" applyFill="1"/>
    <xf numFmtId="0" fontId="145" fillId="2" borderId="0" xfId="0" applyFont="1" applyFill="1" applyAlignment="1">
      <alignment vertical="center"/>
    </xf>
    <xf numFmtId="0" fontId="147" fillId="2" borderId="0" xfId="0" applyFont="1" applyFill="1"/>
    <xf numFmtId="0" fontId="144" fillId="2" borderId="48" xfId="0" applyFont="1" applyFill="1" applyBorder="1"/>
    <xf numFmtId="0" fontId="148" fillId="2" borderId="48" xfId="0" applyFont="1" applyFill="1" applyBorder="1" applyAlignment="1">
      <alignment vertical="top"/>
    </xf>
    <xf numFmtId="0" fontId="145" fillId="2" borderId="48" xfId="0" applyFont="1" applyFill="1" applyBorder="1" applyAlignment="1">
      <alignment vertical="center"/>
    </xf>
    <xf numFmtId="1" fontId="68" fillId="2" borderId="0" xfId="0" applyNumberFormat="1" applyFont="1" applyFill="1" applyAlignment="1">
      <alignment horizontal="left" vertical="center"/>
    </xf>
    <xf numFmtId="0" fontId="149" fillId="2" borderId="0" xfId="0" applyFont="1" applyFill="1"/>
    <xf numFmtId="0" fontId="144" fillId="2" borderId="0" xfId="0" applyFont="1" applyFill="1" applyAlignment="1">
      <alignment horizontal="right"/>
    </xf>
    <xf numFmtId="0" fontId="28" fillId="2" borderId="0" xfId="0" applyFont="1" applyFill="1"/>
    <xf numFmtId="0" fontId="28" fillId="2" borderId="0" xfId="0" applyFont="1" applyFill="1" applyAlignment="1">
      <alignment horizontal="right"/>
    </xf>
    <xf numFmtId="10" fontId="144" fillId="2" borderId="0" xfId="0" applyNumberFormat="1" applyFont="1" applyFill="1" applyAlignment="1">
      <alignment horizontal="left"/>
    </xf>
    <xf numFmtId="0" fontId="144" fillId="2" borderId="48" xfId="0" applyFont="1" applyFill="1" applyBorder="1" applyAlignment="1">
      <alignment horizontal="right"/>
    </xf>
    <xf numFmtId="0" fontId="28" fillId="2" borderId="48" xfId="0" applyFont="1" applyFill="1" applyBorder="1"/>
    <xf numFmtId="0" fontId="40" fillId="11" borderId="18" xfId="0" applyFont="1" applyFill="1" applyBorder="1" applyAlignment="1">
      <alignment horizontal="left"/>
    </xf>
    <xf numFmtId="0" fontId="65" fillId="11" borderId="0" xfId="0" applyFont="1" applyFill="1"/>
    <xf numFmtId="1" fontId="31" fillId="11" borderId="0" xfId="0" applyNumberFormat="1" applyFont="1" applyFill="1"/>
    <xf numFmtId="0" fontId="31" fillId="11" borderId="0" xfId="0" applyFont="1" applyFill="1" applyAlignment="1">
      <alignment horizontal="center" vertical="center"/>
    </xf>
    <xf numFmtId="164" fontId="42" fillId="11" borderId="0" xfId="0" applyNumberFormat="1" applyFont="1" applyFill="1" applyAlignment="1">
      <alignment horizontal="left" vertical="center" indent="3"/>
    </xf>
    <xf numFmtId="0" fontId="31" fillId="11" borderId="0" xfId="0" applyFont="1" applyFill="1" applyAlignment="1">
      <alignment horizontal="left" vertical="center" indent="2"/>
    </xf>
    <xf numFmtId="10" fontId="42" fillId="11" borderId="0" xfId="0" applyNumberFormat="1" applyFont="1" applyFill="1" applyAlignment="1">
      <alignment horizontal="center" vertical="center"/>
    </xf>
    <xf numFmtId="2" fontId="31" fillId="11" borderId="0" xfId="0" applyNumberFormat="1" applyFont="1" applyFill="1"/>
    <xf numFmtId="3" fontId="31" fillId="11" borderId="0" xfId="0" applyNumberFormat="1" applyFont="1" applyFill="1"/>
    <xf numFmtId="0" fontId="64" fillId="11" borderId="0" xfId="0" applyFont="1" applyFill="1"/>
    <xf numFmtId="164" fontId="64" fillId="11" borderId="0" xfId="0" applyNumberFormat="1" applyFont="1" applyFill="1"/>
    <xf numFmtId="0" fontId="32" fillId="2" borderId="53" xfId="0" applyFont="1" applyFill="1" applyBorder="1" applyAlignment="1" applyProtection="1">
      <alignment horizontal="center" vertical="center"/>
      <protection locked="0"/>
    </xf>
    <xf numFmtId="1" fontId="32" fillId="2" borderId="52" xfId="0" applyNumberFormat="1" applyFont="1" applyFill="1" applyBorder="1" applyAlignment="1" applyProtection="1">
      <alignment horizontal="center" vertical="center"/>
      <protection locked="0"/>
    </xf>
    <xf numFmtId="0" fontId="58" fillId="11" borderId="20" xfId="0" applyFont="1" applyFill="1" applyBorder="1" applyAlignment="1">
      <alignment horizontal="left" indent="1"/>
    </xf>
    <xf numFmtId="0" fontId="59" fillId="11" borderId="21" xfId="0" applyFont="1" applyFill="1" applyBorder="1"/>
    <xf numFmtId="0" fontId="60" fillId="11" borderId="22" xfId="0" applyFont="1" applyFill="1" applyBorder="1" applyAlignment="1">
      <alignment horizontal="right"/>
    </xf>
    <xf numFmtId="9" fontId="59" fillId="11" borderId="23" xfId="0" applyNumberFormat="1" applyFont="1" applyFill="1" applyBorder="1"/>
    <xf numFmtId="0" fontId="59" fillId="11" borderId="24" xfId="0" applyFont="1" applyFill="1" applyBorder="1"/>
    <xf numFmtId="164" fontId="59" fillId="11" borderId="23" xfId="0" applyNumberFormat="1" applyFont="1" applyFill="1" applyBorder="1"/>
    <xf numFmtId="10" fontId="59" fillId="11" borderId="25" xfId="0" applyNumberFormat="1" applyFont="1" applyFill="1" applyBorder="1"/>
    <xf numFmtId="0" fontId="59" fillId="11" borderId="26" xfId="0" applyFont="1" applyFill="1" applyBorder="1"/>
    <xf numFmtId="0" fontId="40" fillId="11" borderId="0" xfId="0" applyFont="1" applyFill="1" applyAlignment="1">
      <alignment horizontal="center" vertical="center"/>
    </xf>
    <xf numFmtId="0" fontId="28" fillId="11" borderId="19" xfId="0" applyFont="1" applyFill="1" applyBorder="1" applyAlignment="1">
      <alignment horizontal="left"/>
    </xf>
    <xf numFmtId="0" fontId="28" fillId="11" borderId="18" xfId="0" applyFont="1" applyFill="1" applyBorder="1"/>
    <xf numFmtId="9" fontId="64" fillId="11" borderId="0" xfId="0" applyNumberFormat="1" applyFont="1" applyFill="1" applyAlignment="1">
      <alignment horizontal="center" vertical="center"/>
    </xf>
    <xf numFmtId="9" fontId="64" fillId="11" borderId="0" xfId="0" applyNumberFormat="1" applyFont="1" applyFill="1" applyAlignment="1">
      <alignment horizontal="center"/>
    </xf>
    <xf numFmtId="0" fontId="59" fillId="11" borderId="0" xfId="0" applyFont="1" applyFill="1" applyAlignment="1">
      <alignment horizontal="right"/>
    </xf>
    <xf numFmtId="0" fontId="31" fillId="11" borderId="66" xfId="0" applyFont="1" applyFill="1" applyBorder="1" applyAlignment="1">
      <alignment horizontal="left" indent="1"/>
    </xf>
    <xf numFmtId="0" fontId="65" fillId="11" borderId="0" xfId="0" applyFont="1" applyFill="1" applyAlignment="1">
      <alignment vertical="center"/>
    </xf>
    <xf numFmtId="9" fontId="65" fillId="11" borderId="0" xfId="0" applyNumberFormat="1" applyFont="1" applyFill="1" applyAlignment="1">
      <alignment horizontal="right"/>
    </xf>
    <xf numFmtId="0" fontId="67" fillId="11" borderId="0" xfId="0" applyFont="1" applyFill="1" applyAlignment="1">
      <alignment horizontal="left"/>
    </xf>
    <xf numFmtId="0" fontId="40" fillId="11" borderId="0" xfId="0" applyFont="1" applyFill="1" applyAlignment="1">
      <alignment horizontal="left" indent="1"/>
    </xf>
    <xf numFmtId="0" fontId="58" fillId="11" borderId="20" xfId="0" applyFont="1" applyFill="1" applyBorder="1" applyAlignment="1">
      <alignment horizontal="left" vertical="top" indent="1"/>
    </xf>
    <xf numFmtId="164" fontId="59" fillId="11" borderId="25" xfId="0" applyNumberFormat="1" applyFont="1" applyFill="1" applyBorder="1"/>
    <xf numFmtId="0" fontId="132" fillId="2" borderId="0" xfId="0" applyFont="1" applyFill="1" applyAlignment="1">
      <alignment horizontal="center"/>
    </xf>
    <xf numFmtId="0" fontId="37" fillId="11" borderId="0" xfId="0" applyFont="1" applyFill="1"/>
    <xf numFmtId="0" fontId="28" fillId="11" borderId="0" xfId="0" applyFont="1" applyFill="1" applyAlignment="1">
      <alignment horizontal="center" vertical="center"/>
    </xf>
    <xf numFmtId="0" fontId="37" fillId="11" borderId="0" xfId="0" applyFont="1" applyFill="1" applyAlignment="1">
      <alignment horizontal="center" vertical="center"/>
    </xf>
    <xf numFmtId="0" fontId="28" fillId="11" borderId="0" xfId="0" applyFont="1" applyFill="1" applyAlignment="1">
      <alignment vertical="center"/>
    </xf>
    <xf numFmtId="0" fontId="0" fillId="11" borderId="0" xfId="0" applyFill="1" applyAlignment="1">
      <alignment horizontal="center" vertical="center"/>
    </xf>
    <xf numFmtId="0" fontId="51" fillId="11" borderId="0" xfId="0" applyFont="1" applyFill="1" applyAlignment="1">
      <alignment vertical="top"/>
    </xf>
    <xf numFmtId="168" fontId="51" fillId="11" borderId="0" xfId="0" applyNumberFormat="1" applyFont="1" applyFill="1" applyAlignment="1">
      <alignment vertical="top"/>
    </xf>
    <xf numFmtId="0" fontId="51" fillId="11" borderId="0" xfId="0" applyFont="1" applyFill="1" applyAlignment="1">
      <alignment horizontal="center"/>
    </xf>
    <xf numFmtId="164" fontId="59" fillId="11" borderId="25" xfId="0" applyNumberFormat="1" applyFont="1" applyFill="1" applyBorder="1" applyAlignment="1">
      <alignment vertical="top"/>
    </xf>
    <xf numFmtId="0" fontId="59" fillId="11" borderId="19" xfId="0" applyFont="1" applyFill="1" applyBorder="1" applyAlignment="1">
      <alignment vertical="top"/>
    </xf>
    <xf numFmtId="0" fontId="59" fillId="11" borderId="26" xfId="0" applyFont="1" applyFill="1" applyBorder="1" applyAlignment="1">
      <alignment vertical="top"/>
    </xf>
    <xf numFmtId="0" fontId="28" fillId="11" borderId="0" xfId="0" applyFont="1" applyFill="1" applyAlignment="1">
      <alignment horizontal="left" vertical="center"/>
    </xf>
    <xf numFmtId="0" fontId="6" fillId="2" borderId="0" xfId="0" applyFont="1" applyFill="1" applyAlignment="1" applyProtection="1">
      <alignment horizontal="center" vertical="center"/>
      <protection locked="0"/>
    </xf>
    <xf numFmtId="0" fontId="0" fillId="11" borderId="0" xfId="0" applyFill="1" applyAlignment="1">
      <alignment horizontal="right"/>
    </xf>
    <xf numFmtId="0" fontId="28" fillId="11" borderId="0" xfId="0" applyFont="1" applyFill="1" applyAlignment="1">
      <alignment horizontal="left" indent="1"/>
    </xf>
    <xf numFmtId="1" fontId="53" fillId="11" borderId="0" xfId="0" applyNumberFormat="1" applyFont="1" applyFill="1" applyAlignment="1">
      <alignment horizontal="left" vertical="top" indent="1"/>
    </xf>
    <xf numFmtId="0" fontId="27" fillId="11" borderId="0" xfId="0" applyFont="1" applyFill="1" applyAlignment="1">
      <alignment horizontal="left" indent="1"/>
    </xf>
    <xf numFmtId="0" fontId="27" fillId="11" borderId="0" xfId="0" applyFont="1" applyFill="1" applyAlignment="1">
      <alignment horizontal="left" vertical="center" indent="2"/>
    </xf>
    <xf numFmtId="0" fontId="61" fillId="11" borderId="0" xfId="0" applyFont="1" applyFill="1"/>
    <xf numFmtId="0" fontId="28" fillId="11" borderId="24" xfId="0" applyFont="1" applyFill="1" applyBorder="1" applyAlignment="1">
      <alignment horizontal="left" indent="1"/>
    </xf>
    <xf numFmtId="1" fontId="28" fillId="11" borderId="0" xfId="0" applyNumberFormat="1" applyFont="1" applyFill="1"/>
    <xf numFmtId="0" fontId="37" fillId="11" borderId="0" xfId="0" applyFont="1" applyFill="1" applyAlignment="1">
      <alignment textRotation="90"/>
    </xf>
    <xf numFmtId="0" fontId="27" fillId="11" borderId="0" xfId="0" applyFont="1" applyFill="1" applyAlignment="1">
      <alignment horizontal="right"/>
    </xf>
    <xf numFmtId="2" fontId="28" fillId="11" borderId="0" xfId="0" applyNumberFormat="1" applyFont="1" applyFill="1" applyAlignment="1">
      <alignment horizontal="center"/>
    </xf>
    <xf numFmtId="9" fontId="28" fillId="11" borderId="0" xfId="0" applyNumberFormat="1" applyFont="1" applyFill="1" applyAlignment="1">
      <alignment horizontal="center"/>
    </xf>
    <xf numFmtId="0" fontId="39" fillId="11" borderId="0" xfId="0" applyFont="1" applyFill="1"/>
    <xf numFmtId="2" fontId="28" fillId="11" borderId="0" xfId="0" applyNumberFormat="1" applyFont="1" applyFill="1"/>
    <xf numFmtId="1" fontId="28" fillId="11" borderId="0" xfId="0" applyNumberFormat="1" applyFont="1" applyFill="1" applyAlignment="1">
      <alignment horizontal="left"/>
    </xf>
    <xf numFmtId="0" fontId="0" fillId="11" borderId="0" xfId="0" applyFill="1" applyAlignment="1">
      <alignment horizontal="left" vertical="center"/>
    </xf>
    <xf numFmtId="3" fontId="40" fillId="11" borderId="0" xfId="0" applyNumberFormat="1" applyFont="1" applyFill="1" applyAlignment="1">
      <alignment horizontal="left" vertical="center"/>
    </xf>
    <xf numFmtId="0" fontId="40" fillId="11" borderId="0" xfId="0" applyFont="1" applyFill="1" applyAlignment="1">
      <alignment horizontal="left" vertical="center"/>
    </xf>
    <xf numFmtId="0" fontId="58" fillId="11" borderId="20" xfId="0" applyFont="1" applyFill="1" applyBorder="1" applyAlignment="1">
      <alignment horizontal="left" vertical="center"/>
    </xf>
    <xf numFmtId="0" fontId="58" fillId="11" borderId="22" xfId="0" applyFont="1" applyFill="1" applyBorder="1" applyAlignment="1">
      <alignment horizontal="left" vertical="center" indent="1"/>
    </xf>
    <xf numFmtId="9" fontId="59" fillId="11" borderId="23" xfId="0" applyNumberFormat="1" applyFont="1" applyFill="1" applyBorder="1" applyAlignment="1">
      <alignment horizontal="left" vertical="center" indent="1"/>
    </xf>
    <xf numFmtId="0" fontId="59" fillId="11" borderId="24" xfId="0" applyFont="1" applyFill="1" applyBorder="1" applyAlignment="1">
      <alignment horizontal="left" vertical="center" indent="1"/>
    </xf>
    <xf numFmtId="164" fontId="59" fillId="11" borderId="23" xfId="0" applyNumberFormat="1" applyFont="1" applyFill="1" applyBorder="1" applyAlignment="1">
      <alignment horizontal="left" vertical="center" indent="1"/>
    </xf>
    <xf numFmtId="10" fontId="59" fillId="11" borderId="23" xfId="0" applyNumberFormat="1" applyFont="1" applyFill="1" applyBorder="1" applyAlignment="1">
      <alignment horizontal="left" vertical="center" indent="1"/>
    </xf>
    <xf numFmtId="0" fontId="59" fillId="11" borderId="24" xfId="0" applyFont="1" applyFill="1" applyBorder="1" applyAlignment="1">
      <alignment horizontal="left" indent="1"/>
    </xf>
    <xf numFmtId="9" fontId="59" fillId="11" borderId="25" xfId="0" applyNumberFormat="1" applyFont="1" applyFill="1" applyBorder="1" applyAlignment="1">
      <alignment horizontal="left" indent="1"/>
    </xf>
    <xf numFmtId="0" fontId="59" fillId="11" borderId="26" xfId="0" applyFont="1" applyFill="1" applyBorder="1" applyAlignment="1">
      <alignment horizontal="left" indent="1"/>
    </xf>
    <xf numFmtId="0" fontId="38" fillId="11" borderId="0" xfId="0" applyFont="1" applyFill="1" applyAlignment="1">
      <alignment horizontal="left" indent="1"/>
    </xf>
    <xf numFmtId="164" fontId="0" fillId="11" borderId="0" xfId="0" applyNumberFormat="1" applyFill="1"/>
    <xf numFmtId="4" fontId="6" fillId="11" borderId="0" xfId="0" applyNumberFormat="1" applyFont="1" applyFill="1" applyAlignment="1">
      <alignment horizontal="left"/>
    </xf>
    <xf numFmtId="2" fontId="0" fillId="11" borderId="0" xfId="0" applyNumberFormat="1" applyFill="1" applyAlignment="1">
      <alignment horizontal="center"/>
    </xf>
    <xf numFmtId="0" fontId="6" fillId="11" borderId="0" xfId="0" applyFont="1" applyFill="1"/>
    <xf numFmtId="165" fontId="69" fillId="11" borderId="0" xfId="0" applyNumberFormat="1" applyFont="1" applyFill="1"/>
    <xf numFmtId="164" fontId="59" fillId="11" borderId="25" xfId="0" applyNumberFormat="1" applyFont="1" applyFill="1" applyBorder="1" applyAlignment="1">
      <alignment horizontal="left" indent="1"/>
    </xf>
    <xf numFmtId="0" fontId="9" fillId="2" borderId="0" xfId="0" applyFont="1" applyFill="1" applyAlignment="1">
      <alignment horizontal="left" vertical="center" indent="1"/>
    </xf>
    <xf numFmtId="0" fontId="7" fillId="2" borderId="8" xfId="0" applyFont="1" applyFill="1" applyBorder="1" applyAlignment="1">
      <alignment vertical="center"/>
    </xf>
    <xf numFmtId="0" fontId="28" fillId="2" borderId="4" xfId="0" applyFont="1" applyFill="1" applyBorder="1"/>
    <xf numFmtId="0" fontId="0" fillId="2" borderId="95" xfId="0" applyFill="1" applyBorder="1"/>
    <xf numFmtId="0" fontId="102" fillId="2" borderId="7" xfId="0" applyFont="1" applyFill="1" applyBorder="1" applyAlignment="1">
      <alignment horizontal="right" indent="1"/>
    </xf>
    <xf numFmtId="0" fontId="102" fillId="2" borderId="6" xfId="0" applyFont="1" applyFill="1" applyBorder="1" applyAlignment="1">
      <alignment horizontal="right" indent="1"/>
    </xf>
    <xf numFmtId="3" fontId="0" fillId="2" borderId="8" xfId="0" applyNumberFormat="1" applyFill="1" applyBorder="1"/>
    <xf numFmtId="0" fontId="151" fillId="2" borderId="91" xfId="0" applyFont="1" applyFill="1" applyBorder="1" applyAlignment="1">
      <alignment horizontal="left" indent="3"/>
    </xf>
    <xf numFmtId="0" fontId="2" fillId="0" borderId="0" xfId="0" applyFont="1" applyAlignment="1">
      <alignment horizontal="center" vertical="center"/>
    </xf>
    <xf numFmtId="0" fontId="2" fillId="0" borderId="7" xfId="0" applyFont="1" applyBorder="1" applyAlignment="1">
      <alignment horizontal="center" vertical="center"/>
    </xf>
    <xf numFmtId="0" fontId="2" fillId="0" borderId="4" xfId="0" applyFont="1" applyBorder="1" applyAlignment="1">
      <alignment horizontal="right"/>
    </xf>
    <xf numFmtId="176" fontId="0" fillId="0" borderId="0" xfId="0" applyNumberFormat="1" applyAlignment="1">
      <alignment horizontal="center" vertical="center"/>
    </xf>
    <xf numFmtId="178" fontId="0" fillId="0" borderId="0" xfId="0" applyNumberFormat="1" applyAlignment="1">
      <alignment horizontal="center" vertical="center"/>
    </xf>
    <xf numFmtId="0" fontId="102" fillId="2" borderId="0" xfId="0" applyFont="1" applyFill="1" applyAlignment="1">
      <alignment horizontal="right" indent="1"/>
    </xf>
    <xf numFmtId="3" fontId="32" fillId="0" borderId="52" xfId="0" applyNumberFormat="1" applyFont="1" applyBorder="1" applyAlignment="1" applyProtection="1">
      <alignment horizontal="center" vertical="center"/>
      <protection locked="0"/>
    </xf>
    <xf numFmtId="3" fontId="40" fillId="6" borderId="0" xfId="0" applyNumberFormat="1" applyFont="1" applyFill="1" applyAlignment="1">
      <alignment horizontal="center" vertical="center"/>
    </xf>
    <xf numFmtId="164" fontId="59" fillId="6" borderId="0" xfId="0" applyNumberFormat="1" applyFont="1" applyFill="1"/>
    <xf numFmtId="10" fontId="59" fillId="6" borderId="25" xfId="0" applyNumberFormat="1" applyFont="1" applyFill="1" applyBorder="1"/>
    <xf numFmtId="0" fontId="153" fillId="3" borderId="97" xfId="0" applyFont="1" applyFill="1" applyBorder="1" applyAlignment="1">
      <alignment horizontal="left" vertical="center" indent="1"/>
    </xf>
    <xf numFmtId="0" fontId="153" fillId="3" borderId="98" xfId="0" applyFont="1" applyFill="1" applyBorder="1" applyAlignment="1">
      <alignment horizontal="left" vertical="center" indent="1"/>
    </xf>
    <xf numFmtId="0" fontId="25" fillId="3" borderId="97" xfId="0" applyFont="1" applyFill="1" applyBorder="1"/>
    <xf numFmtId="0" fontId="25" fillId="3" borderId="98" xfId="0" applyFont="1" applyFill="1" applyBorder="1"/>
    <xf numFmtId="0" fontId="2" fillId="6" borderId="0" xfId="0" applyFont="1" applyFill="1" applyAlignment="1">
      <alignment horizontal="center" vertical="center"/>
    </xf>
    <xf numFmtId="0" fontId="4" fillId="6" borderId="0" xfId="0" applyFont="1" applyFill="1" applyAlignment="1">
      <alignment horizontal="left" indent="1"/>
    </xf>
    <xf numFmtId="0" fontId="102" fillId="6" borderId="0" xfId="0" applyFont="1" applyFill="1" applyAlignment="1">
      <alignment horizontal="right" indent="1"/>
    </xf>
    <xf numFmtId="0" fontId="127" fillId="6" borderId="0" xfId="0" applyFont="1" applyFill="1" applyAlignment="1">
      <alignment horizontal="right" indent="1"/>
    </xf>
    <xf numFmtId="0" fontId="9" fillId="3" borderId="8" xfId="0" applyFont="1" applyFill="1" applyBorder="1" applyAlignment="1">
      <alignment horizontal="left" vertical="center" indent="1"/>
    </xf>
    <xf numFmtId="0" fontId="9" fillId="3" borderId="2" xfId="0" applyFont="1" applyFill="1" applyBorder="1" applyAlignment="1">
      <alignment horizontal="left" vertical="center" indent="1"/>
    </xf>
    <xf numFmtId="164" fontId="64" fillId="6" borderId="0" xfId="0" applyNumberFormat="1" applyFont="1" applyFill="1"/>
    <xf numFmtId="9" fontId="64" fillId="6" borderId="0" xfId="0" applyNumberFormat="1" applyFont="1" applyFill="1"/>
    <xf numFmtId="164" fontId="59" fillId="6" borderId="25" xfId="0" applyNumberFormat="1" applyFont="1" applyFill="1" applyBorder="1"/>
    <xf numFmtId="0" fontId="39" fillId="6" borderId="0" xfId="0" applyFont="1" applyFill="1" applyAlignment="1">
      <alignment vertical="top"/>
    </xf>
    <xf numFmtId="0" fontId="42" fillId="2" borderId="0" xfId="0" applyFont="1" applyFill="1" applyAlignment="1">
      <alignment horizontal="left" indent="1"/>
    </xf>
    <xf numFmtId="0" fontId="78" fillId="0" borderId="47" xfId="0" applyFont="1" applyBorder="1" applyAlignment="1">
      <alignment horizontal="left" vertical="center" wrapText="1" indent="1"/>
    </xf>
    <xf numFmtId="0" fontId="68" fillId="0" borderId="4" xfId="0" applyFont="1" applyBorder="1"/>
    <xf numFmtId="0" fontId="68" fillId="0" borderId="6" xfId="0" applyFont="1" applyBorder="1"/>
    <xf numFmtId="0" fontId="68" fillId="0" borderId="0" xfId="0" applyFont="1" applyAlignment="1">
      <alignment horizontal="center"/>
    </xf>
    <xf numFmtId="0" fontId="68" fillId="0" borderId="0" xfId="0" applyFont="1"/>
    <xf numFmtId="0" fontId="90" fillId="2" borderId="0" xfId="0" applyFont="1" applyFill="1" applyAlignment="1">
      <alignment horizontal="right"/>
    </xf>
    <xf numFmtId="0" fontId="42" fillId="2" borderId="0" xfId="0" applyFont="1" applyFill="1" applyAlignment="1">
      <alignment horizontal="right" indent="2"/>
    </xf>
    <xf numFmtId="179" fontId="64" fillId="7" borderId="46" xfId="0" applyNumberFormat="1" applyFont="1" applyFill="1" applyBorder="1" applyAlignment="1" applyProtection="1">
      <alignment horizontal="center" vertical="center"/>
      <protection locked="0"/>
    </xf>
    <xf numFmtId="180" fontId="64" fillId="7" borderId="42" xfId="0" applyNumberFormat="1" applyFont="1" applyFill="1" applyBorder="1" applyAlignment="1" applyProtection="1">
      <alignment horizontal="center" vertical="center"/>
      <protection locked="0"/>
    </xf>
    <xf numFmtId="0" fontId="42" fillId="2" borderId="0" xfId="0" applyFont="1" applyFill="1" applyAlignment="1">
      <alignment horizontal="left" indent="2"/>
    </xf>
    <xf numFmtId="181" fontId="64" fillId="7" borderId="14" xfId="0" applyNumberFormat="1" applyFont="1" applyFill="1" applyBorder="1" applyAlignment="1" applyProtection="1">
      <alignment horizontal="center" vertical="center"/>
      <protection locked="0"/>
    </xf>
    <xf numFmtId="10" fontId="11" fillId="0" borderId="28" xfId="0" applyNumberFormat="1" applyFont="1" applyBorder="1" applyAlignment="1" applyProtection="1">
      <alignment horizontal="center" vertical="center"/>
      <protection locked="0"/>
    </xf>
    <xf numFmtId="0" fontId="135" fillId="9" borderId="0" xfId="0" applyFont="1" applyFill="1"/>
    <xf numFmtId="173" fontId="64" fillId="7" borderId="14" xfId="0" applyNumberFormat="1" applyFont="1" applyFill="1" applyBorder="1" applyAlignment="1" applyProtection="1">
      <alignment horizontal="center" vertical="center"/>
      <protection locked="0"/>
    </xf>
    <xf numFmtId="1" fontId="64" fillId="7" borderId="14" xfId="0" applyNumberFormat="1" applyFont="1" applyFill="1" applyBorder="1" applyAlignment="1" applyProtection="1">
      <alignment horizontal="center" vertical="center"/>
      <protection locked="0"/>
    </xf>
    <xf numFmtId="0" fontId="64" fillId="2" borderId="14" xfId="0" applyFont="1" applyFill="1" applyBorder="1" applyAlignment="1">
      <alignment horizontal="center" vertical="center"/>
    </xf>
    <xf numFmtId="9" fontId="64" fillId="7" borderId="14" xfId="0" applyNumberFormat="1" applyFont="1" applyFill="1" applyBorder="1" applyAlignment="1" applyProtection="1">
      <alignment horizontal="center" vertical="center"/>
      <protection locked="0"/>
    </xf>
    <xf numFmtId="9" fontId="64" fillId="2" borderId="14" xfId="0" applyNumberFormat="1" applyFont="1" applyFill="1" applyBorder="1" applyAlignment="1">
      <alignment horizontal="center" vertical="center"/>
    </xf>
    <xf numFmtId="0" fontId="130" fillId="2" borderId="7" xfId="0" applyFont="1" applyFill="1" applyBorder="1" applyAlignment="1">
      <alignment horizontal="right"/>
    </xf>
    <xf numFmtId="0" fontId="130" fillId="2" borderId="7" xfId="0" applyFont="1" applyFill="1" applyBorder="1"/>
    <xf numFmtId="166" fontId="130" fillId="2" borderId="7" xfId="0" applyNumberFormat="1" applyFont="1" applyFill="1" applyBorder="1"/>
    <xf numFmtId="166" fontId="11" fillId="2" borderId="7" xfId="0" applyNumberFormat="1" applyFont="1" applyFill="1" applyBorder="1"/>
    <xf numFmtId="0" fontId="9" fillId="3" borderId="6" xfId="0" applyFont="1" applyFill="1" applyBorder="1" applyAlignment="1">
      <alignment horizontal="left" vertical="center" indent="1"/>
    </xf>
    <xf numFmtId="0" fontId="38" fillId="11" borderId="0" xfId="0" applyFont="1" applyFill="1" applyAlignment="1">
      <alignment horizontal="left" vertical="center" indent="1"/>
    </xf>
    <xf numFmtId="0" fontId="65" fillId="11" borderId="0" xfId="0" applyFont="1" applyFill="1" applyAlignment="1">
      <alignment horizontal="left" vertical="center" indent="1"/>
    </xf>
    <xf numFmtId="0" fontId="37" fillId="11" borderId="0" xfId="0" applyFont="1" applyFill="1" applyAlignment="1">
      <alignment vertical="center"/>
    </xf>
    <xf numFmtId="0" fontId="50" fillId="11" borderId="0" xfId="0" applyFont="1" applyFill="1" applyAlignment="1">
      <alignment horizontal="left" vertical="center" indent="3"/>
    </xf>
    <xf numFmtId="0" fontId="50" fillId="11" borderId="0" xfId="0" applyFont="1" applyFill="1" applyAlignment="1">
      <alignment horizontal="left" vertical="center" indent="1"/>
    </xf>
    <xf numFmtId="2" fontId="0" fillId="11" borderId="0" xfId="0" applyNumberFormat="1" applyFill="1" applyAlignment="1">
      <alignment horizontal="left" indent="2"/>
    </xf>
    <xf numFmtId="171" fontId="31" fillId="11" borderId="0" xfId="0" applyNumberFormat="1" applyFont="1" applyFill="1" applyAlignment="1">
      <alignment horizontal="center"/>
    </xf>
    <xf numFmtId="2" fontId="6" fillId="11" borderId="0" xfId="0" applyNumberFormat="1" applyFont="1" applyFill="1" applyAlignment="1">
      <alignment horizontal="left" vertical="center" indent="2"/>
    </xf>
    <xf numFmtId="1" fontId="54" fillId="11" borderId="0" xfId="0" applyNumberFormat="1" applyFont="1" applyFill="1" applyAlignment="1">
      <alignment horizontal="center" vertical="center" wrapText="1"/>
    </xf>
    <xf numFmtId="1" fontId="53" fillId="11" borderId="0" xfId="0" applyNumberFormat="1" applyFont="1" applyFill="1" applyAlignment="1">
      <alignment horizontal="left" vertical="top" indent="2"/>
    </xf>
    <xf numFmtId="0" fontId="11" fillId="0" borderId="27" xfId="0" applyFont="1" applyBorder="1" applyAlignment="1" applyProtection="1">
      <alignment horizontal="left" vertical="center" indent="1"/>
      <protection locked="0"/>
    </xf>
    <xf numFmtId="0" fontId="0" fillId="2" borderId="0" xfId="0" applyFill="1" applyAlignment="1">
      <alignment vertical="top"/>
    </xf>
    <xf numFmtId="0" fontId="56" fillId="2" borderId="0" xfId="0" applyFont="1" applyFill="1" applyAlignment="1">
      <alignment horizontal="left" vertical="center"/>
    </xf>
    <xf numFmtId="0" fontId="40" fillId="6" borderId="0" xfId="0" applyFont="1" applyFill="1" applyAlignment="1">
      <alignment horizontal="left" vertical="center" indent="2"/>
    </xf>
    <xf numFmtId="0" fontId="28" fillId="9" borderId="0" xfId="0" applyFont="1" applyFill="1" applyAlignment="1">
      <alignment vertical="center" wrapText="1"/>
    </xf>
    <xf numFmtId="0" fontId="28" fillId="9" borderId="48" xfId="0" applyFont="1" applyFill="1" applyBorder="1" applyAlignment="1">
      <alignment vertical="center" wrapText="1"/>
    </xf>
    <xf numFmtId="9" fontId="28" fillId="6" borderId="34" xfId="0" applyNumberFormat="1" applyFont="1" applyFill="1" applyBorder="1" applyAlignment="1">
      <alignment horizontal="center"/>
    </xf>
    <xf numFmtId="0" fontId="39" fillId="6" borderId="34" xfId="0" applyFont="1" applyFill="1" applyBorder="1"/>
    <xf numFmtId="0" fontId="28" fillId="6" borderId="34" xfId="0" applyFont="1" applyFill="1" applyBorder="1"/>
    <xf numFmtId="0" fontId="28" fillId="6" borderId="34" xfId="0" applyFont="1" applyFill="1" applyBorder="1" applyAlignment="1">
      <alignment horizontal="right"/>
    </xf>
    <xf numFmtId="0" fontId="64" fillId="2" borderId="7" xfId="0" applyFont="1" applyFill="1" applyBorder="1" applyAlignment="1">
      <alignment horizontal="left"/>
    </xf>
    <xf numFmtId="0" fontId="6" fillId="2" borderId="7" xfId="0" applyFont="1" applyFill="1" applyBorder="1"/>
    <xf numFmtId="10" fontId="11" fillId="0" borderId="100" xfId="0" applyNumberFormat="1" applyFont="1" applyBorder="1" applyAlignment="1" applyProtection="1">
      <alignment horizontal="center" vertical="center"/>
      <protection locked="0"/>
    </xf>
    <xf numFmtId="0" fontId="40" fillId="11" borderId="0" xfId="0" applyFont="1" applyFill="1" applyAlignment="1">
      <alignment horizontal="left" vertical="center" indent="1"/>
    </xf>
    <xf numFmtId="0" fontId="28" fillId="11" borderId="24" xfId="0" applyFont="1" applyFill="1" applyBorder="1" applyAlignment="1">
      <alignment vertical="center"/>
    </xf>
    <xf numFmtId="0" fontId="53" fillId="11" borderId="0" xfId="0" applyFont="1" applyFill="1" applyAlignment="1">
      <alignment horizontal="center"/>
    </xf>
    <xf numFmtId="2" fontId="131" fillId="11" borderId="0" xfId="0" applyNumberFormat="1" applyFont="1" applyFill="1" applyAlignment="1">
      <alignment vertical="top"/>
    </xf>
    <xf numFmtId="1" fontId="64" fillId="11" borderId="0" xfId="0" applyNumberFormat="1" applyFont="1" applyFill="1" applyAlignment="1">
      <alignment horizontal="right"/>
    </xf>
    <xf numFmtId="0" fontId="10" fillId="3" borderId="11" xfId="0" applyFont="1" applyFill="1" applyBorder="1" applyAlignment="1">
      <alignment horizontal="left" vertical="center" indent="1"/>
    </xf>
    <xf numFmtId="2" fontId="60" fillId="11" borderId="0" xfId="0" applyNumberFormat="1" applyFont="1" applyFill="1" applyAlignment="1">
      <alignment vertical="top"/>
    </xf>
    <xf numFmtId="10" fontId="11" fillId="0" borderId="99" xfId="0" applyNumberFormat="1" applyFont="1" applyBorder="1" applyAlignment="1" applyProtection="1">
      <alignment horizontal="center" vertical="center"/>
      <protection locked="0"/>
    </xf>
    <xf numFmtId="0" fontId="27" fillId="11" borderId="24" xfId="0" applyFont="1" applyFill="1" applyBorder="1" applyAlignment="1">
      <alignment horizontal="left" indent="1"/>
    </xf>
    <xf numFmtId="0" fontId="31" fillId="11" borderId="0" xfId="0" applyFont="1" applyFill="1" applyAlignment="1">
      <alignment horizontal="left" indent="2"/>
    </xf>
    <xf numFmtId="0" fontId="32" fillId="3" borderId="2" xfId="0" applyFont="1" applyFill="1" applyBorder="1" applyAlignment="1">
      <alignment horizontal="right"/>
    </xf>
    <xf numFmtId="0" fontId="32" fillId="3" borderId="6" xfId="0" applyFont="1" applyFill="1" applyBorder="1" applyAlignment="1">
      <alignment horizontal="right"/>
    </xf>
    <xf numFmtId="0" fontId="11" fillId="3" borderId="11" xfId="0" applyFont="1" applyFill="1" applyBorder="1" applyAlignment="1">
      <alignment horizontal="left" indent="1"/>
    </xf>
    <xf numFmtId="0" fontId="32" fillId="3" borderId="11" xfId="0" applyFont="1" applyFill="1" applyBorder="1" applyAlignment="1">
      <alignment horizontal="right"/>
    </xf>
    <xf numFmtId="0" fontId="7" fillId="2" borderId="1" xfId="0" applyFont="1" applyFill="1" applyBorder="1" applyAlignment="1">
      <alignment vertical="center"/>
    </xf>
    <xf numFmtId="0" fontId="7" fillId="2" borderId="3" xfId="0" applyFont="1" applyFill="1" applyBorder="1" applyAlignment="1">
      <alignment vertical="center"/>
    </xf>
    <xf numFmtId="0" fontId="0" fillId="2" borderId="0" xfId="0" applyFill="1" applyAlignment="1">
      <alignment vertical="center"/>
    </xf>
    <xf numFmtId="0" fontId="32" fillId="2" borderId="0" xfId="0" applyFont="1" applyFill="1" applyAlignment="1">
      <alignment horizontal="left" indent="1"/>
    </xf>
    <xf numFmtId="3" fontId="31" fillId="11" borderId="0" xfId="0" applyNumberFormat="1" applyFont="1" applyFill="1" applyAlignment="1">
      <alignment horizontal="left" indent="1"/>
    </xf>
    <xf numFmtId="1" fontId="31" fillId="11" borderId="0" xfId="0" applyNumberFormat="1" applyFont="1" applyFill="1" applyAlignment="1">
      <alignment horizontal="left" indent="1"/>
    </xf>
    <xf numFmtId="165" fontId="31" fillId="11" borderId="0" xfId="0" applyNumberFormat="1" applyFont="1" applyFill="1" applyAlignment="1">
      <alignment horizontal="left" indent="1"/>
    </xf>
    <xf numFmtId="0" fontId="40" fillId="11" borderId="0" xfId="0" applyFont="1" applyFill="1" applyAlignment="1">
      <alignment horizontal="left"/>
    </xf>
    <xf numFmtId="10" fontId="32" fillId="0" borderId="102" xfId="0" applyNumberFormat="1" applyFont="1" applyBorder="1" applyAlignment="1" applyProtection="1">
      <alignment horizontal="center"/>
      <protection locked="0"/>
    </xf>
    <xf numFmtId="0" fontId="32" fillId="11" borderId="0" xfId="0" applyFont="1" applyFill="1" applyAlignment="1">
      <alignment horizontal="left" indent="2"/>
    </xf>
    <xf numFmtId="0" fontId="32" fillId="3" borderId="10" xfId="0" applyFont="1" applyFill="1" applyBorder="1" applyAlignment="1">
      <alignment horizontal="left"/>
    </xf>
    <xf numFmtId="0" fontId="32" fillId="3" borderId="11" xfId="0" applyFont="1" applyFill="1" applyBorder="1" applyAlignment="1">
      <alignment horizontal="left"/>
    </xf>
    <xf numFmtId="0" fontId="32" fillId="2" borderId="0" xfId="0" applyFont="1" applyFill="1" applyAlignment="1">
      <alignment horizontal="left" vertical="center" indent="1"/>
    </xf>
    <xf numFmtId="0" fontId="32" fillId="3" borderId="10" xfId="0" applyFont="1" applyFill="1" applyBorder="1" applyAlignment="1">
      <alignment horizontal="left" indent="1"/>
    </xf>
    <xf numFmtId="0" fontId="32" fillId="3" borderId="11" xfId="0" applyFont="1" applyFill="1" applyBorder="1" applyAlignment="1">
      <alignment horizontal="left" indent="1"/>
    </xf>
    <xf numFmtId="0" fontId="32" fillId="3" borderId="10" xfId="0" applyFont="1" applyFill="1" applyBorder="1"/>
    <xf numFmtId="0" fontId="32" fillId="3" borderId="11" xfId="0" applyFont="1" applyFill="1" applyBorder="1"/>
    <xf numFmtId="0" fontId="31" fillId="11" borderId="24" xfId="0" applyFont="1" applyFill="1" applyBorder="1" applyAlignment="1">
      <alignment horizontal="left" indent="1"/>
    </xf>
    <xf numFmtId="0" fontId="31" fillId="11" borderId="24" xfId="0" applyFont="1" applyFill="1" applyBorder="1"/>
    <xf numFmtId="164" fontId="95" fillId="11" borderId="0" xfId="0" applyNumberFormat="1" applyFont="1" applyFill="1" applyAlignment="1">
      <alignment horizontal="left" indent="1"/>
    </xf>
    <xf numFmtId="9" fontId="72" fillId="11" borderId="0" xfId="0" applyNumberFormat="1" applyFont="1" applyFill="1" applyAlignment="1">
      <alignment vertical="center"/>
    </xf>
    <xf numFmtId="0" fontId="11" fillId="2" borderId="103" xfId="0" applyFont="1" applyFill="1" applyBorder="1" applyAlignment="1" applyProtection="1">
      <alignment horizontal="left" vertical="center" indent="1"/>
      <protection locked="0"/>
    </xf>
    <xf numFmtId="0" fontId="32" fillId="11" borderId="20" xfId="0" applyFont="1" applyFill="1" applyBorder="1"/>
    <xf numFmtId="0" fontId="32" fillId="11" borderId="21" xfId="0" applyFont="1" applyFill="1" applyBorder="1"/>
    <xf numFmtId="0" fontId="32" fillId="11" borderId="22" xfId="0" applyFont="1" applyFill="1" applyBorder="1"/>
    <xf numFmtId="10" fontId="64" fillId="0" borderId="53" xfId="0" applyNumberFormat="1" applyFont="1" applyBorder="1" applyAlignment="1" applyProtection="1">
      <alignment horizontal="center" vertical="center"/>
      <protection locked="0"/>
    </xf>
    <xf numFmtId="10" fontId="64" fillId="0" borderId="52" xfId="0" applyNumberFormat="1" applyFont="1" applyBorder="1" applyAlignment="1" applyProtection="1">
      <alignment horizontal="center" vertical="center"/>
      <protection locked="0"/>
    </xf>
    <xf numFmtId="1" fontId="32" fillId="2" borderId="3" xfId="0" applyNumberFormat="1" applyFont="1" applyFill="1" applyBorder="1"/>
    <xf numFmtId="2" fontId="32" fillId="2" borderId="3" xfId="0" applyNumberFormat="1" applyFont="1" applyFill="1" applyBorder="1"/>
    <xf numFmtId="0" fontId="0" fillId="11" borderId="104" xfId="0" applyFill="1" applyBorder="1"/>
    <xf numFmtId="0" fontId="31" fillId="11" borderId="104" xfId="0" applyFont="1" applyFill="1" applyBorder="1" applyAlignment="1">
      <alignment horizontal="left" indent="1"/>
    </xf>
    <xf numFmtId="0" fontId="31" fillId="11" borderId="104" xfId="0" applyFont="1" applyFill="1" applyBorder="1"/>
    <xf numFmtId="0" fontId="31" fillId="11" borderId="0" xfId="0" applyFont="1" applyFill="1" applyAlignment="1">
      <alignment horizontal="left"/>
    </xf>
    <xf numFmtId="0" fontId="40" fillId="11" borderId="0" xfId="0" applyFont="1" applyFill="1" applyAlignment="1">
      <alignment vertical="center" wrapText="1"/>
    </xf>
    <xf numFmtId="0" fontId="54" fillId="11" borderId="0" xfId="0" applyFont="1" applyFill="1" applyAlignment="1">
      <alignment vertical="top"/>
    </xf>
    <xf numFmtId="173" fontId="40" fillId="11" borderId="18" xfId="0" applyNumberFormat="1" applyFont="1" applyFill="1" applyBorder="1" applyAlignment="1">
      <alignment horizontal="center" vertical="center"/>
    </xf>
    <xf numFmtId="3" fontId="31" fillId="11" borderId="19" xfId="0" applyNumberFormat="1" applyFont="1" applyFill="1" applyBorder="1"/>
    <xf numFmtId="0" fontId="31" fillId="11" borderId="19" xfId="0" applyFont="1" applyFill="1" applyBorder="1"/>
    <xf numFmtId="0" fontId="31" fillId="11" borderId="19" xfId="0" applyFont="1" applyFill="1" applyBorder="1" applyAlignment="1">
      <alignment horizontal="left"/>
    </xf>
    <xf numFmtId="3" fontId="64" fillId="11" borderId="19" xfId="0" applyNumberFormat="1" applyFont="1" applyFill="1" applyBorder="1"/>
    <xf numFmtId="164" fontId="64" fillId="11" borderId="19" xfId="0" applyNumberFormat="1" applyFont="1" applyFill="1" applyBorder="1" applyAlignment="1">
      <alignment horizontal="center"/>
    </xf>
    <xf numFmtId="0" fontId="68" fillId="3" borderId="7" xfId="0" applyFont="1" applyFill="1" applyBorder="1"/>
    <xf numFmtId="0" fontId="68" fillId="3" borderId="7" xfId="0" applyFont="1" applyFill="1" applyBorder="1" applyAlignment="1">
      <alignment horizontal="center"/>
    </xf>
    <xf numFmtId="0" fontId="157" fillId="2" borderId="0" xfId="0" applyFont="1" applyFill="1"/>
    <xf numFmtId="0" fontId="11" fillId="2" borderId="0" xfId="0" applyFont="1" applyFill="1"/>
    <xf numFmtId="0" fontId="9" fillId="2" borderId="0" xfId="0" applyFont="1" applyFill="1"/>
    <xf numFmtId="0" fontId="23" fillId="2" borderId="0" xfId="0" applyFont="1" applyFill="1" applyAlignment="1">
      <alignment horizontal="left" vertical="center" wrapText="1" indent="1"/>
    </xf>
    <xf numFmtId="0" fontId="32" fillId="2" borderId="0" xfId="0" applyFont="1" applyFill="1" applyAlignment="1">
      <alignment horizontal="left"/>
    </xf>
    <xf numFmtId="166" fontId="32" fillId="2" borderId="0" xfId="0" applyNumberFormat="1" applyFont="1" applyFill="1"/>
    <xf numFmtId="0" fontId="158" fillId="2" borderId="7" xfId="0" applyFont="1" applyFill="1" applyBorder="1"/>
    <xf numFmtId="168" fontId="159" fillId="2" borderId="7" xfId="0" applyNumberFormat="1" applyFont="1" applyFill="1" applyBorder="1" applyAlignment="1">
      <alignment horizontal="left"/>
    </xf>
    <xf numFmtId="0" fontId="11" fillId="2" borderId="7" xfId="0" applyFont="1" applyFill="1" applyBorder="1" applyAlignment="1">
      <alignment horizontal="right"/>
    </xf>
    <xf numFmtId="166" fontId="11" fillId="2" borderId="7" xfId="0" applyNumberFormat="1" applyFont="1" applyFill="1" applyBorder="1" applyAlignment="1">
      <alignment horizontal="left"/>
    </xf>
    <xf numFmtId="0" fontId="108" fillId="2" borderId="0" xfId="0" applyFont="1" applyFill="1"/>
    <xf numFmtId="0" fontId="56" fillId="2" borderId="0" xfId="0" applyFont="1" applyFill="1"/>
    <xf numFmtId="9" fontId="4" fillId="2" borderId="27" xfId="0" applyNumberFormat="1" applyFont="1" applyFill="1" applyBorder="1" applyAlignment="1" applyProtection="1">
      <alignment horizontal="center" vertical="center"/>
      <protection locked="0"/>
    </xf>
    <xf numFmtId="9" fontId="4" fillId="2" borderId="28" xfId="0" applyNumberFormat="1" applyFont="1" applyFill="1" applyBorder="1" applyAlignment="1" applyProtection="1">
      <alignment horizontal="center" vertical="center"/>
      <protection locked="0"/>
    </xf>
    <xf numFmtId="164" fontId="4" fillId="2" borderId="28" xfId="0" applyNumberFormat="1" applyFont="1" applyFill="1" applyBorder="1" applyAlignment="1" applyProtection="1">
      <alignment horizontal="center" vertical="center"/>
      <protection locked="0"/>
    </xf>
    <xf numFmtId="164" fontId="4" fillId="2" borderId="99" xfId="0" applyNumberFormat="1" applyFont="1" applyFill="1" applyBorder="1" applyAlignment="1" applyProtection="1">
      <alignment horizontal="center" vertical="center"/>
      <protection locked="0"/>
    </xf>
    <xf numFmtId="0" fontId="68" fillId="2" borderId="7" xfId="0" applyFont="1" applyFill="1" applyBorder="1" applyAlignment="1">
      <alignment horizontal="left"/>
    </xf>
    <xf numFmtId="0" fontId="25" fillId="0" borderId="9" xfId="0" applyFont="1" applyBorder="1" applyAlignment="1">
      <alignment horizontal="left"/>
    </xf>
    <xf numFmtId="0" fontId="4" fillId="0" borderId="11" xfId="0" applyFont="1" applyBorder="1"/>
    <xf numFmtId="0" fontId="2" fillId="0" borderId="15" xfId="0" applyFont="1" applyBorder="1"/>
    <xf numFmtId="0" fontId="0" fillId="0" borderId="15"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27" fillId="6" borderId="1" xfId="0" applyFont="1" applyFill="1" applyBorder="1"/>
    <xf numFmtId="0" fontId="28" fillId="6" borderId="2" xfId="0" applyFont="1" applyFill="1" applyBorder="1"/>
    <xf numFmtId="171" fontId="28" fillId="6" borderId="3" xfId="0" applyNumberFormat="1" applyFont="1" applyFill="1" applyBorder="1" applyAlignment="1">
      <alignment horizontal="center"/>
    </xf>
    <xf numFmtId="9" fontId="28" fillId="6" borderId="4" xfId="0" applyNumberFormat="1" applyFont="1" applyFill="1" applyBorder="1"/>
    <xf numFmtId="171" fontId="28" fillId="6" borderId="5" xfId="0" applyNumberFormat="1" applyFont="1" applyFill="1" applyBorder="1" applyAlignment="1">
      <alignment horizontal="center"/>
    </xf>
    <xf numFmtId="9" fontId="28" fillId="6" borderId="6" xfId="0" applyNumberFormat="1" applyFont="1" applyFill="1" applyBorder="1"/>
    <xf numFmtId="0" fontId="0" fillId="0" borderId="11" xfId="0" applyBorder="1" applyAlignment="1">
      <alignment horizontal="center"/>
    </xf>
    <xf numFmtId="0" fontId="0" fillId="4" borderId="0" xfId="0" applyFill="1" applyAlignment="1" applyProtection="1">
      <alignment horizontal="center" vertical="center"/>
      <protection locked="0"/>
    </xf>
    <xf numFmtId="0" fontId="7" fillId="2" borderId="0" xfId="0" applyFont="1" applyFill="1" applyAlignment="1">
      <alignment vertical="center"/>
    </xf>
    <xf numFmtId="0" fontId="32" fillId="0" borderId="3" xfId="0" applyFont="1" applyBorder="1"/>
    <xf numFmtId="1" fontId="64" fillId="2" borderId="7" xfId="0" applyNumberFormat="1" applyFont="1" applyFill="1" applyBorder="1" applyAlignment="1">
      <alignment horizontal="right"/>
    </xf>
    <xf numFmtId="0" fontId="64" fillId="2" borderId="7" xfId="0" applyFont="1" applyFill="1" applyBorder="1" applyAlignment="1">
      <alignment horizontal="left" indent="1"/>
    </xf>
    <xf numFmtId="9" fontId="31" fillId="6" borderId="0" xfId="0" applyNumberFormat="1" applyFont="1" applyFill="1" applyAlignment="1">
      <alignment horizontal="center"/>
    </xf>
    <xf numFmtId="164" fontId="31" fillId="6" borderId="0" xfId="0" applyNumberFormat="1" applyFont="1" applyFill="1" applyAlignment="1">
      <alignment horizontal="center"/>
    </xf>
    <xf numFmtId="0" fontId="38" fillId="6" borderId="0" xfId="0" applyFont="1" applyFill="1" applyAlignment="1">
      <alignment horizontal="right"/>
    </xf>
    <xf numFmtId="9" fontId="33" fillId="6" borderId="0" xfId="0" applyNumberFormat="1" applyFont="1" applyFill="1" applyAlignment="1">
      <alignment horizontal="center" vertical="center"/>
    </xf>
    <xf numFmtId="0" fontId="23" fillId="2" borderId="0" xfId="0" applyFont="1" applyFill="1"/>
    <xf numFmtId="0" fontId="0" fillId="2" borderId="0" xfId="0" applyFill="1" applyAlignment="1">
      <alignment horizontal="right" indent="1"/>
    </xf>
    <xf numFmtId="0" fontId="10" fillId="3" borderId="9" xfId="0" applyFont="1" applyFill="1" applyBorder="1" applyAlignment="1">
      <alignment horizontal="left" vertical="center" indent="1"/>
    </xf>
    <xf numFmtId="0" fontId="11" fillId="2" borderId="7" xfId="0" applyFont="1" applyFill="1" applyBorder="1" applyAlignment="1">
      <alignment horizontal="left"/>
    </xf>
    <xf numFmtId="0" fontId="11" fillId="2" borderId="0" xfId="0" applyFont="1" applyFill="1" applyAlignment="1">
      <alignment horizontal="left"/>
    </xf>
    <xf numFmtId="0" fontId="108" fillId="2" borderId="0" xfId="0" applyFont="1" applyFill="1" applyAlignment="1">
      <alignment horizontal="left"/>
    </xf>
    <xf numFmtId="0" fontId="108" fillId="2" borderId="7" xfId="0" applyFont="1" applyFill="1" applyBorder="1" applyAlignment="1">
      <alignment horizontal="left"/>
    </xf>
    <xf numFmtId="0" fontId="2" fillId="0" borderId="0" xfId="0" applyFont="1"/>
    <xf numFmtId="0" fontId="108" fillId="0" borderId="0" xfId="0" applyFont="1"/>
    <xf numFmtId="0" fontId="108" fillId="2" borderId="0" xfId="0" applyFont="1" applyFill="1" applyAlignment="1">
      <alignment horizontal="center"/>
    </xf>
    <xf numFmtId="0" fontId="166" fillId="2" borderId="0" xfId="0" applyFont="1" applyFill="1" applyAlignment="1">
      <alignment horizontal="center"/>
    </xf>
    <xf numFmtId="171" fontId="31" fillId="6" borderId="64" xfId="0" applyNumberFormat="1" applyFont="1" applyFill="1" applyBorder="1" applyAlignment="1">
      <alignment horizontal="center"/>
    </xf>
    <xf numFmtId="164" fontId="31" fillId="6" borderId="60" xfId="0" applyNumberFormat="1" applyFont="1" applyFill="1" applyBorder="1" applyAlignment="1">
      <alignment vertical="center"/>
    </xf>
    <xf numFmtId="0" fontId="32" fillId="0" borderId="5" xfId="0" applyFont="1" applyBorder="1" applyAlignment="1">
      <alignment vertical="center"/>
    </xf>
    <xf numFmtId="0" fontId="32" fillId="0" borderId="16" xfId="0" applyFont="1" applyBorder="1"/>
    <xf numFmtId="171" fontId="31" fillId="6" borderId="64" xfId="0" applyNumberFormat="1" applyFont="1" applyFill="1" applyBorder="1" applyAlignment="1">
      <alignment horizontal="center" vertical="center"/>
    </xf>
    <xf numFmtId="0" fontId="31" fillId="6" borderId="60" xfId="0" applyFont="1" applyFill="1" applyBorder="1" applyAlignment="1">
      <alignment vertical="center"/>
    </xf>
    <xf numFmtId="0" fontId="32" fillId="0" borderId="1" xfId="0" applyFont="1" applyBorder="1"/>
    <xf numFmtId="0" fontId="32" fillId="0" borderId="2" xfId="0" applyFont="1" applyBorder="1"/>
    <xf numFmtId="0" fontId="32" fillId="0" borderId="15" xfId="0" applyFont="1" applyBorder="1"/>
    <xf numFmtId="9" fontId="72" fillId="6" borderId="0" xfId="0" applyNumberFormat="1" applyFont="1" applyFill="1" applyAlignment="1">
      <alignment vertical="center"/>
    </xf>
    <xf numFmtId="0" fontId="35" fillId="6" borderId="0" xfId="0" applyFont="1" applyFill="1" applyAlignment="1">
      <alignment horizontal="left" vertical="center" indent="1"/>
    </xf>
    <xf numFmtId="0" fontId="35" fillId="6" borderId="0" xfId="0" applyFont="1" applyFill="1" applyAlignment="1">
      <alignment vertical="center"/>
    </xf>
    <xf numFmtId="0" fontId="40" fillId="6" borderId="0" xfId="0" applyFont="1" applyFill="1" applyAlignment="1">
      <alignment vertical="top"/>
    </xf>
    <xf numFmtId="0" fontId="58" fillId="6" borderId="0" xfId="0" applyFont="1" applyFill="1" applyAlignment="1">
      <alignment horizontal="left"/>
    </xf>
    <xf numFmtId="0" fontId="58" fillId="6" borderId="0" xfId="0" applyFont="1" applyFill="1" applyAlignment="1">
      <alignment horizontal="left" vertical="center" indent="1"/>
    </xf>
    <xf numFmtId="9" fontId="31" fillId="6" borderId="24" xfId="0" applyNumberFormat="1" applyFont="1" applyFill="1" applyBorder="1" applyAlignment="1">
      <alignment horizontal="center"/>
    </xf>
    <xf numFmtId="164" fontId="31" fillId="6" borderId="24" xfId="0" applyNumberFormat="1" applyFont="1" applyFill="1" applyBorder="1" applyAlignment="1">
      <alignment horizontal="center"/>
    </xf>
    <xf numFmtId="0" fontId="38" fillId="6" borderId="24" xfId="0" applyFont="1" applyFill="1" applyBorder="1" applyAlignment="1">
      <alignment horizontal="right"/>
    </xf>
    <xf numFmtId="0" fontId="24" fillId="6" borderId="0" xfId="0" applyFont="1" applyFill="1"/>
    <xf numFmtId="3" fontId="0" fillId="6" borderId="0" xfId="0" applyNumberFormat="1" applyFill="1" applyAlignment="1">
      <alignment horizontal="center"/>
    </xf>
    <xf numFmtId="1" fontId="64" fillId="2" borderId="3" xfId="0" applyNumberFormat="1" applyFont="1" applyFill="1" applyBorder="1"/>
    <xf numFmtId="165" fontId="64" fillId="2" borderId="3" xfId="0" applyNumberFormat="1" applyFont="1" applyFill="1" applyBorder="1" applyAlignment="1">
      <alignment horizontal="right"/>
    </xf>
    <xf numFmtId="165" fontId="64" fillId="2" borderId="3" xfId="0" applyNumberFormat="1" applyFont="1" applyFill="1" applyBorder="1"/>
    <xf numFmtId="0" fontId="25" fillId="0" borderId="11" xfId="0" applyFont="1" applyBorder="1"/>
    <xf numFmtId="0" fontId="2" fillId="0" borderId="11" xfId="0" applyFont="1" applyBorder="1" applyAlignment="1">
      <alignment horizontal="center"/>
    </xf>
    <xf numFmtId="1" fontId="51" fillId="6" borderId="18" xfId="0" applyNumberFormat="1" applyFont="1" applyFill="1" applyBorder="1" applyAlignment="1">
      <alignment vertical="top"/>
    </xf>
    <xf numFmtId="1" fontId="51" fillId="6" borderId="18" xfId="0" applyNumberFormat="1" applyFont="1" applyFill="1" applyBorder="1" applyAlignment="1">
      <alignment horizontal="left" vertical="top"/>
    </xf>
    <xf numFmtId="0" fontId="51" fillId="6" borderId="18" xfId="0" applyFont="1" applyFill="1" applyBorder="1" applyAlignment="1">
      <alignment vertical="top"/>
    </xf>
    <xf numFmtId="0" fontId="51" fillId="6" borderId="18" xfId="0" applyFont="1" applyFill="1" applyBorder="1" applyAlignment="1">
      <alignment horizontal="left" vertical="top"/>
    </xf>
    <xf numFmtId="0" fontId="27" fillId="6" borderId="18" xfId="0" applyFont="1" applyFill="1" applyBorder="1" applyAlignment="1">
      <alignment vertical="top"/>
    </xf>
    <xf numFmtId="0" fontId="42" fillId="0" borderId="0" xfId="0" applyFont="1" applyAlignment="1" applyProtection="1">
      <alignment horizontal="left" vertical="center" indent="1"/>
      <protection locked="0"/>
    </xf>
    <xf numFmtId="0" fontId="0" fillId="0" borderId="0" xfId="0" applyAlignment="1">
      <alignment horizontal="left" vertical="top"/>
    </xf>
    <xf numFmtId="0" fontId="160" fillId="2" borderId="7" xfId="0" applyFont="1" applyFill="1" applyBorder="1" applyAlignment="1">
      <alignment horizontal="left" indent="8"/>
    </xf>
    <xf numFmtId="166" fontId="11" fillId="2" borderId="0" xfId="0" applyNumberFormat="1" applyFont="1" applyFill="1" applyAlignment="1">
      <alignment horizontal="left"/>
    </xf>
    <xf numFmtId="9" fontId="167" fillId="6" borderId="0" xfId="0" applyNumberFormat="1" applyFont="1" applyFill="1" applyAlignment="1">
      <alignment horizontal="right" vertical="center"/>
    </xf>
    <xf numFmtId="0" fontId="167" fillId="6" borderId="0" xfId="0" applyFont="1" applyFill="1" applyAlignment="1">
      <alignment horizontal="left" vertical="center" indent="1"/>
    </xf>
    <xf numFmtId="10" fontId="167" fillId="6" borderId="0" xfId="0" applyNumberFormat="1" applyFont="1" applyFill="1" applyAlignment="1">
      <alignment horizontal="right" vertical="center"/>
    </xf>
    <xf numFmtId="9" fontId="167" fillId="6" borderId="18" xfId="0" applyNumberFormat="1" applyFont="1" applyFill="1" applyBorder="1" applyAlignment="1">
      <alignment horizontal="right" vertical="top"/>
    </xf>
    <xf numFmtId="0" fontId="167" fillId="6" borderId="18" xfId="0" applyFont="1" applyFill="1" applyBorder="1" applyAlignment="1">
      <alignment horizontal="left" vertical="top" indent="1"/>
    </xf>
    <xf numFmtId="0" fontId="101" fillId="2" borderId="3" xfId="0" applyFont="1" applyFill="1" applyBorder="1" applyAlignment="1">
      <alignment horizontal="left" vertical="center" indent="1"/>
    </xf>
    <xf numFmtId="0" fontId="109" fillId="2" borderId="0" xfId="0" applyFont="1" applyFill="1" applyAlignment="1">
      <alignment vertical="center"/>
    </xf>
    <xf numFmtId="0" fontId="2" fillId="2" borderId="0" xfId="0" applyFont="1" applyFill="1" applyAlignment="1">
      <alignment vertical="center"/>
    </xf>
    <xf numFmtId="2" fontId="6" fillId="6" borderId="0" xfId="0" applyNumberFormat="1" applyFont="1" applyFill="1" applyAlignment="1">
      <alignment horizontal="center"/>
    </xf>
    <xf numFmtId="3" fontId="31" fillId="6" borderId="44" xfId="0" applyNumberFormat="1" applyFont="1" applyFill="1" applyBorder="1" applyAlignment="1">
      <alignment horizontal="center" vertical="center"/>
    </xf>
    <xf numFmtId="0" fontId="169" fillId="2" borderId="0" xfId="0" applyFont="1" applyFill="1" applyAlignment="1">
      <alignment horizontal="center" vertical="center"/>
    </xf>
    <xf numFmtId="0" fontId="64" fillId="2" borderId="0" xfId="0" applyFont="1" applyFill="1" applyAlignment="1">
      <alignment horizontal="center" vertical="center"/>
    </xf>
    <xf numFmtId="0" fontId="6" fillId="4" borderId="10" xfId="0" applyFont="1" applyFill="1" applyBorder="1"/>
    <xf numFmtId="0" fontId="6" fillId="4" borderId="11" xfId="0" applyFont="1" applyFill="1" applyBorder="1"/>
    <xf numFmtId="0" fontId="124" fillId="6" borderId="105" xfId="0" applyFont="1" applyFill="1" applyBorder="1" applyAlignment="1">
      <alignment horizontal="left" indent="1"/>
    </xf>
    <xf numFmtId="0" fontId="170" fillId="6" borderId="106" xfId="0" applyFont="1" applyFill="1" applyBorder="1"/>
    <xf numFmtId="3" fontId="170" fillId="6" borderId="107" xfId="0" applyNumberFormat="1" applyFont="1" applyFill="1" applyBorder="1"/>
    <xf numFmtId="0" fontId="170" fillId="6" borderId="108" xfId="0" applyFont="1" applyFill="1" applyBorder="1" applyAlignment="1">
      <alignment horizontal="left" indent="1"/>
    </xf>
    <xf numFmtId="3" fontId="170" fillId="6" borderId="109" xfId="0" applyNumberFormat="1" applyFont="1" applyFill="1" applyBorder="1"/>
    <xf numFmtId="0" fontId="170" fillId="6" borderId="110" xfId="0" applyFont="1" applyFill="1" applyBorder="1" applyAlignment="1">
      <alignment horizontal="left" indent="1"/>
    </xf>
    <xf numFmtId="3" fontId="170" fillId="6" borderId="109" xfId="0" applyNumberFormat="1" applyFont="1" applyFill="1" applyBorder="1" applyAlignment="1">
      <alignment horizontal="right"/>
    </xf>
    <xf numFmtId="3" fontId="171" fillId="6" borderId="107" xfId="0" applyNumberFormat="1" applyFont="1" applyFill="1" applyBorder="1"/>
    <xf numFmtId="0" fontId="171" fillId="6" borderId="108" xfId="0" applyFont="1" applyFill="1" applyBorder="1" applyAlignment="1">
      <alignment horizontal="left" indent="1"/>
    </xf>
    <xf numFmtId="0" fontId="6" fillId="2" borderId="0" xfId="0" applyFont="1" applyFill="1" applyAlignment="1">
      <alignment horizontal="left" vertical="top" indent="1"/>
    </xf>
    <xf numFmtId="0" fontId="8" fillId="3" borderId="10" xfId="0" applyFont="1" applyFill="1" applyBorder="1"/>
    <xf numFmtId="0" fontId="8" fillId="3" borderId="11" xfId="0" applyFont="1" applyFill="1" applyBorder="1"/>
    <xf numFmtId="0" fontId="8" fillId="3" borderId="10" xfId="0" applyFont="1" applyFill="1" applyBorder="1" applyAlignment="1">
      <alignment horizontal="left" vertical="top" indent="1"/>
    </xf>
    <xf numFmtId="0" fontId="8" fillId="3" borderId="11" xfId="0" applyFont="1" applyFill="1" applyBorder="1" applyAlignment="1">
      <alignment horizontal="left" vertical="top" indent="1"/>
    </xf>
    <xf numFmtId="0" fontId="11" fillId="2" borderId="0" xfId="0" applyFont="1" applyFill="1" applyAlignment="1" applyProtection="1">
      <alignment horizontal="left" vertical="center" indent="1"/>
      <protection locked="0"/>
    </xf>
    <xf numFmtId="2" fontId="64" fillId="6" borderId="0" xfId="0" applyNumberFormat="1" applyFont="1" applyFill="1" applyAlignment="1">
      <alignment horizontal="right"/>
    </xf>
    <xf numFmtId="164" fontId="31" fillId="2" borderId="0" xfId="0" applyNumberFormat="1" applyFont="1" applyFill="1" applyAlignment="1">
      <alignment vertical="center"/>
    </xf>
    <xf numFmtId="10" fontId="32" fillId="0" borderId="0" xfId="0" applyNumberFormat="1" applyFont="1" applyAlignment="1">
      <alignment horizontal="center"/>
    </xf>
    <xf numFmtId="10" fontId="32" fillId="0" borderId="0" xfId="0" applyNumberFormat="1" applyFont="1"/>
    <xf numFmtId="0" fontId="38" fillId="6" borderId="0" xfId="0" applyFont="1" applyFill="1"/>
    <xf numFmtId="1" fontId="51" fillId="6" borderId="0" xfId="0" applyNumberFormat="1" applyFont="1" applyFill="1" applyAlignment="1">
      <alignment vertical="center" wrapText="1"/>
    </xf>
    <xf numFmtId="171" fontId="31" fillId="6" borderId="65" xfId="0" applyNumberFormat="1" applyFont="1" applyFill="1" applyBorder="1" applyAlignment="1">
      <alignment horizontal="center"/>
    </xf>
    <xf numFmtId="9" fontId="31" fillId="6" borderId="61" xfId="0" applyNumberFormat="1" applyFont="1" applyFill="1" applyBorder="1"/>
    <xf numFmtId="9" fontId="31" fillId="2" borderId="0" xfId="0" applyNumberFormat="1" applyFont="1" applyFill="1"/>
    <xf numFmtId="10" fontId="32" fillId="0" borderId="7" xfId="0" applyNumberFormat="1" applyFont="1" applyBorder="1" applyAlignment="1">
      <alignment horizontal="center"/>
    </xf>
    <xf numFmtId="10" fontId="32" fillId="0" borderId="7" xfId="0" applyNumberFormat="1" applyFont="1" applyBorder="1"/>
    <xf numFmtId="176" fontId="38" fillId="6" borderId="0" xfId="0" applyNumberFormat="1" applyFont="1" applyFill="1"/>
    <xf numFmtId="1" fontId="31" fillId="6" borderId="0" xfId="0" applyNumberFormat="1" applyFont="1" applyFill="1" applyAlignment="1">
      <alignment horizontal="center" vertical="center"/>
    </xf>
    <xf numFmtId="1" fontId="38" fillId="6" borderId="0" xfId="0" applyNumberFormat="1" applyFont="1" applyFill="1" applyAlignment="1">
      <alignment horizontal="left" vertical="top" indent="1"/>
    </xf>
    <xf numFmtId="168" fontId="130" fillId="2" borderId="0" xfId="0" applyNumberFormat="1" applyFont="1" applyFill="1" applyAlignment="1">
      <alignment horizontal="left"/>
    </xf>
    <xf numFmtId="0" fontId="31" fillId="6" borderId="0" xfId="0" applyFont="1" applyFill="1" applyAlignment="1">
      <alignment vertical="center"/>
    </xf>
    <xf numFmtId="171" fontId="32" fillId="2" borderId="0" xfId="0" applyNumberFormat="1" applyFont="1" applyFill="1" applyAlignment="1">
      <alignment horizontal="center"/>
    </xf>
    <xf numFmtId="0" fontId="11" fillId="2" borderId="0" xfId="0" applyFont="1" applyFill="1" applyAlignment="1">
      <alignment horizontal="left" vertical="top" indent="1"/>
    </xf>
    <xf numFmtId="0" fontId="155" fillId="2" borderId="0" xfId="0" applyFont="1" applyFill="1" applyAlignment="1">
      <alignment horizontal="center"/>
    </xf>
    <xf numFmtId="0" fontId="11" fillId="2" borderId="0" xfId="0" applyFont="1" applyFill="1" applyAlignment="1">
      <alignment horizontal="left" vertical="center" indent="1"/>
    </xf>
    <xf numFmtId="0" fontId="32" fillId="2" borderId="0" xfId="0" applyFont="1" applyFill="1" applyAlignment="1">
      <alignment horizontal="right"/>
    </xf>
    <xf numFmtId="2" fontId="31" fillId="6" borderId="0" xfId="0" applyNumberFormat="1" applyFont="1" applyFill="1" applyAlignment="1">
      <alignment horizontal="center"/>
    </xf>
    <xf numFmtId="170" fontId="38" fillId="6" borderId="0" xfId="0" applyNumberFormat="1" applyFont="1" applyFill="1" applyAlignment="1">
      <alignment horizontal="center"/>
    </xf>
    <xf numFmtId="0" fontId="2" fillId="0" borderId="3" xfId="0" applyFont="1" applyBorder="1"/>
    <xf numFmtId="0" fontId="2" fillId="0" borderId="4" xfId="0" applyFont="1" applyBorder="1"/>
    <xf numFmtId="0" fontId="38" fillId="6" borderId="0" xfId="0" applyFont="1" applyFill="1" applyAlignment="1">
      <alignment horizontal="left" vertical="center" indent="1"/>
    </xf>
    <xf numFmtId="0" fontId="65" fillId="6" borderId="0" xfId="0" applyFont="1" applyFill="1" applyAlignment="1">
      <alignment horizontal="left" vertical="center" indent="1"/>
    </xf>
    <xf numFmtId="0" fontId="11" fillId="2" borderId="7" xfId="0" applyFont="1" applyFill="1" applyBorder="1"/>
    <xf numFmtId="0" fontId="32" fillId="3" borderId="1" xfId="0" applyFont="1" applyFill="1" applyBorder="1" applyAlignment="1">
      <alignment horizontal="left" vertical="center" indent="1"/>
    </xf>
    <xf numFmtId="0" fontId="32" fillId="3" borderId="8" xfId="0" applyFont="1" applyFill="1" applyBorder="1" applyAlignment="1">
      <alignment horizontal="left" vertical="center" indent="1"/>
    </xf>
    <xf numFmtId="0" fontId="32" fillId="3" borderId="2" xfId="0" applyFont="1" applyFill="1" applyBorder="1" applyAlignment="1">
      <alignment horizontal="left" vertical="center" indent="1"/>
    </xf>
    <xf numFmtId="0" fontId="32" fillId="3" borderId="5" xfId="0" applyFont="1" applyFill="1" applyBorder="1" applyAlignment="1">
      <alignment horizontal="left" vertical="center" indent="1"/>
    </xf>
    <xf numFmtId="0" fontId="32" fillId="3" borderId="7" xfId="0" applyFont="1" applyFill="1" applyBorder="1"/>
    <xf numFmtId="0" fontId="32" fillId="3" borderId="6" xfId="0" applyFont="1" applyFill="1" applyBorder="1"/>
    <xf numFmtId="0" fontId="32" fillId="3" borderId="9" xfId="0" applyFont="1" applyFill="1" applyBorder="1" applyAlignment="1">
      <alignment horizontal="left" indent="1"/>
    </xf>
    <xf numFmtId="0" fontId="32" fillId="2" borderId="7" xfId="0" applyFont="1" applyFill="1" applyBorder="1" applyAlignment="1">
      <alignment horizontal="left" indent="1"/>
    </xf>
    <xf numFmtId="0" fontId="32" fillId="2" borderId="116" xfId="0" applyFont="1" applyFill="1" applyBorder="1"/>
    <xf numFmtId="0" fontId="32" fillId="3" borderId="117" xfId="0" applyFont="1" applyFill="1" applyBorder="1" applyAlignment="1">
      <alignment horizontal="left" vertical="center" indent="1"/>
    </xf>
    <xf numFmtId="0" fontId="32" fillId="3" borderId="118" xfId="0" applyFont="1" applyFill="1" applyBorder="1" applyAlignment="1">
      <alignment horizontal="left" vertical="center" indent="1"/>
    </xf>
    <xf numFmtId="0" fontId="32" fillId="3" borderId="119" xfId="0" applyFont="1" applyFill="1" applyBorder="1" applyAlignment="1">
      <alignment horizontal="left" vertical="center" indent="1"/>
    </xf>
    <xf numFmtId="0" fontId="28" fillId="0" borderId="0" xfId="0" applyFont="1" applyAlignment="1">
      <alignment horizontal="left" indent="1"/>
    </xf>
    <xf numFmtId="0" fontId="86" fillId="2" borderId="1" xfId="0" applyFont="1" applyFill="1" applyBorder="1" applyAlignment="1">
      <alignment vertical="center"/>
    </xf>
    <xf numFmtId="0" fontId="86" fillId="2" borderId="8" xfId="0" applyFont="1" applyFill="1" applyBorder="1" applyAlignment="1">
      <alignment vertical="center"/>
    </xf>
    <xf numFmtId="0" fontId="86" fillId="2" borderId="3" xfId="0" applyFont="1" applyFill="1" applyBorder="1" applyAlignment="1">
      <alignment vertical="center"/>
    </xf>
    <xf numFmtId="0" fontId="86" fillId="2" borderId="0" xfId="0" applyFont="1" applyFill="1" applyAlignment="1">
      <alignment vertical="center"/>
    </xf>
    <xf numFmtId="0" fontId="68" fillId="2" borderId="0" xfId="0" applyFont="1" applyFill="1" applyAlignment="1">
      <alignment horizontal="left" vertical="center" indent="2"/>
    </xf>
    <xf numFmtId="0" fontId="8" fillId="2" borderId="4" xfId="0" applyFont="1" applyFill="1" applyBorder="1"/>
    <xf numFmtId="0" fontId="8" fillId="2" borderId="0" xfId="0" applyFont="1" applyFill="1"/>
    <xf numFmtId="0" fontId="8" fillId="2" borderId="0" xfId="0" applyFont="1" applyFill="1" applyAlignment="1">
      <alignment horizontal="right"/>
    </xf>
    <xf numFmtId="0" fontId="11" fillId="2" borderId="7" xfId="0" applyFont="1" applyFill="1" applyBorder="1" applyAlignment="1">
      <alignment horizontal="center"/>
    </xf>
    <xf numFmtId="166" fontId="32" fillId="2" borderId="7" xfId="0" applyNumberFormat="1" applyFont="1" applyFill="1" applyBorder="1" applyAlignment="1">
      <alignment horizontal="left"/>
    </xf>
    <xf numFmtId="168" fontId="130" fillId="2" borderId="7" xfId="0" applyNumberFormat="1" applyFont="1" applyFill="1" applyBorder="1" applyAlignment="1">
      <alignment horizontal="left"/>
    </xf>
    <xf numFmtId="0" fontId="108" fillId="2" borderId="3" xfId="0" applyFont="1" applyFill="1" applyBorder="1"/>
    <xf numFmtId="0" fontId="156" fillId="2" borderId="0" xfId="0" applyFont="1" applyFill="1"/>
    <xf numFmtId="0" fontId="32" fillId="2" borderId="3" xfId="0" applyFont="1" applyFill="1" applyBorder="1"/>
    <xf numFmtId="0" fontId="118" fillId="2" borderId="6" xfId="0" applyFont="1" applyFill="1" applyBorder="1" applyAlignment="1">
      <alignment horizontal="left" indent="4"/>
    </xf>
    <xf numFmtId="0" fontId="11" fillId="2" borderId="0" xfId="0" applyFont="1" applyFill="1" applyAlignment="1">
      <alignment horizontal="left" vertical="center" wrapText="1" indent="1"/>
    </xf>
    <xf numFmtId="0" fontId="118" fillId="2" borderId="7" xfId="0" applyFont="1" applyFill="1" applyBorder="1" applyAlignment="1">
      <alignment horizontal="left" indent="4"/>
    </xf>
    <xf numFmtId="0" fontId="164" fillId="2" borderId="0" xfId="0" applyFont="1" applyFill="1" applyAlignment="1">
      <alignment horizontal="left" indent="1"/>
    </xf>
    <xf numFmtId="0" fontId="156" fillId="2" borderId="0" xfId="0" applyFont="1" applyFill="1" applyAlignment="1">
      <alignment horizontal="right"/>
    </xf>
    <xf numFmtId="0" fontId="164" fillId="2" borderId="0" xfId="0" applyFont="1" applyFill="1" applyAlignment="1">
      <alignment horizontal="left" vertical="top" indent="1"/>
    </xf>
    <xf numFmtId="0" fontId="2" fillId="2" borderId="3" xfId="0" applyFont="1" applyFill="1" applyBorder="1" applyAlignment="1">
      <alignment vertical="center"/>
    </xf>
    <xf numFmtId="0" fontId="64" fillId="2" borderId="0" xfId="0" applyFont="1" applyFill="1" applyAlignment="1">
      <alignment horizontal="left" vertical="center"/>
    </xf>
    <xf numFmtId="0" fontId="32" fillId="2" borderId="0" xfId="0" applyFont="1" applyFill="1" applyAlignment="1">
      <alignment horizontal="center"/>
    </xf>
    <xf numFmtId="0" fontId="11" fillId="2" borderId="0" xfId="0" applyFont="1" applyFill="1" applyAlignment="1">
      <alignment horizontal="center"/>
    </xf>
    <xf numFmtId="0" fontId="10" fillId="2" borderId="0" xfId="0" applyFont="1" applyFill="1" applyAlignment="1">
      <alignment horizontal="left" vertical="top" indent="1"/>
    </xf>
    <xf numFmtId="0" fontId="105" fillId="2" borderId="0" xfId="0" applyFont="1" applyFill="1" applyAlignment="1">
      <alignment horizontal="right"/>
    </xf>
    <xf numFmtId="166" fontId="0" fillId="2" borderId="0" xfId="0" applyNumberFormat="1" applyFill="1" applyAlignment="1">
      <alignment horizontal="left"/>
    </xf>
    <xf numFmtId="166" fontId="32" fillId="2" borderId="0" xfId="0" applyNumberFormat="1" applyFont="1" applyFill="1" applyAlignment="1">
      <alignment horizontal="left"/>
    </xf>
    <xf numFmtId="0" fontId="27" fillId="6" borderId="120" xfId="0" applyFont="1" applyFill="1" applyBorder="1"/>
    <xf numFmtId="0" fontId="28" fillId="6" borderId="121" xfId="0" applyFont="1" applyFill="1" applyBorder="1"/>
    <xf numFmtId="9" fontId="28" fillId="6" borderId="122" xfId="0" applyNumberFormat="1" applyFont="1" applyFill="1" applyBorder="1"/>
    <xf numFmtId="171" fontId="28" fillId="6" borderId="123" xfId="0" applyNumberFormat="1" applyFont="1" applyFill="1" applyBorder="1" applyAlignment="1">
      <alignment horizontal="center" vertical="center"/>
    </xf>
    <xf numFmtId="0" fontId="28" fillId="6" borderId="124" xfId="0" applyFont="1" applyFill="1" applyBorder="1" applyAlignment="1">
      <alignment vertical="center"/>
    </xf>
    <xf numFmtId="9" fontId="28" fillId="6" borderId="0" xfId="0" applyNumberFormat="1" applyFont="1" applyFill="1"/>
    <xf numFmtId="171" fontId="28" fillId="6" borderId="125" xfId="0" applyNumberFormat="1" applyFont="1" applyFill="1" applyBorder="1" applyAlignment="1">
      <alignment horizontal="center"/>
    </xf>
    <xf numFmtId="9" fontId="28" fillId="6" borderId="126" xfId="0" applyNumberFormat="1" applyFont="1" applyFill="1" applyBorder="1"/>
    <xf numFmtId="0" fontId="28" fillId="6" borderId="120" xfId="0" applyFont="1" applyFill="1" applyBorder="1"/>
    <xf numFmtId="171" fontId="28" fillId="6" borderId="123" xfId="0" applyNumberFormat="1" applyFont="1" applyFill="1" applyBorder="1" applyAlignment="1">
      <alignment horizontal="center"/>
    </xf>
    <xf numFmtId="9" fontId="28" fillId="6" borderId="124" xfId="0" applyNumberFormat="1" applyFont="1" applyFill="1" applyBorder="1"/>
    <xf numFmtId="171" fontId="28" fillId="6" borderId="115" xfId="0" applyNumberFormat="1" applyFont="1" applyFill="1" applyBorder="1" applyAlignment="1">
      <alignment horizontal="center"/>
    </xf>
    <xf numFmtId="9" fontId="28" fillId="6" borderId="127" xfId="0" applyNumberFormat="1" applyFont="1" applyFill="1" applyBorder="1"/>
    <xf numFmtId="0" fontId="28" fillId="6" borderId="128" xfId="0" applyFont="1" applyFill="1" applyBorder="1"/>
    <xf numFmtId="0" fontId="28" fillId="6" borderId="129" xfId="0" applyFont="1" applyFill="1" applyBorder="1"/>
    <xf numFmtId="0" fontId="107" fillId="0" borderId="0" xfId="0" applyFont="1"/>
    <xf numFmtId="0" fontId="0" fillId="0" borderId="115" xfId="0" applyBorder="1"/>
    <xf numFmtId="171" fontId="28" fillId="6" borderId="128" xfId="0" applyNumberFormat="1" applyFont="1" applyFill="1" applyBorder="1" applyAlignment="1">
      <alignment horizontal="center"/>
    </xf>
    <xf numFmtId="9" fontId="28" fillId="6" borderId="129" xfId="0" applyNumberFormat="1" applyFont="1" applyFill="1" applyBorder="1"/>
    <xf numFmtId="9" fontId="59" fillId="11" borderId="23" xfId="0" applyNumberFormat="1" applyFont="1" applyFill="1" applyBorder="1" applyAlignment="1">
      <alignment horizontal="center" vertical="center"/>
    </xf>
    <xf numFmtId="0" fontId="0" fillId="0" borderId="116" xfId="0" applyBorder="1"/>
    <xf numFmtId="10" fontId="59" fillId="11" borderId="23" xfId="0" applyNumberFormat="1" applyFont="1" applyFill="1" applyBorder="1"/>
    <xf numFmtId="0" fontId="173" fillId="0" borderId="0" xfId="0" applyFont="1" applyAlignment="1">
      <alignment horizontal="left" vertical="center" indent="1"/>
    </xf>
    <xf numFmtId="0" fontId="40" fillId="6" borderId="0" xfId="0" applyFont="1" applyFill="1" applyAlignment="1">
      <alignment horizontal="left"/>
    </xf>
    <xf numFmtId="3" fontId="11" fillId="2" borderId="27" xfId="0" applyNumberFormat="1" applyFont="1" applyFill="1" applyBorder="1" applyAlignment="1" applyProtection="1">
      <alignment horizontal="center" vertical="center"/>
      <protection locked="0"/>
    </xf>
    <xf numFmtId="3" fontId="11" fillId="2" borderId="28" xfId="0" applyNumberFormat="1" applyFont="1" applyFill="1" applyBorder="1" applyAlignment="1" applyProtection="1">
      <alignment horizontal="center" vertical="center"/>
      <protection locked="0"/>
    </xf>
    <xf numFmtId="164" fontId="11" fillId="2" borderId="28" xfId="0" applyNumberFormat="1" applyFont="1" applyFill="1" applyBorder="1" applyAlignment="1" applyProtection="1">
      <alignment horizontal="center" vertical="center"/>
      <protection locked="0"/>
    </xf>
    <xf numFmtId="10" fontId="11" fillId="2" borderId="28" xfId="0" applyNumberFormat="1" applyFont="1" applyFill="1" applyBorder="1" applyAlignment="1" applyProtection="1">
      <alignment horizontal="center" vertical="center"/>
      <protection locked="0"/>
    </xf>
    <xf numFmtId="10" fontId="11" fillId="2" borderId="0" xfId="0" applyNumberFormat="1" applyFont="1" applyFill="1" applyAlignment="1" applyProtection="1">
      <alignment horizontal="center" vertical="center"/>
      <protection locked="0"/>
    </xf>
    <xf numFmtId="9" fontId="32" fillId="2" borderId="51" xfId="0" applyNumberFormat="1" applyFont="1" applyFill="1" applyBorder="1" applyAlignment="1" applyProtection="1">
      <alignment horizontal="center"/>
      <protection locked="0"/>
    </xf>
    <xf numFmtId="164" fontId="32" fillId="2" borderId="51" xfId="0" applyNumberFormat="1" applyFont="1" applyFill="1" applyBorder="1" applyAlignment="1" applyProtection="1">
      <alignment horizontal="center"/>
      <protection locked="0"/>
    </xf>
    <xf numFmtId="10" fontId="32" fillId="2" borderId="50" xfId="0" applyNumberFormat="1" applyFont="1" applyFill="1" applyBorder="1" applyAlignment="1" applyProtection="1">
      <alignment horizontal="center"/>
      <protection locked="0"/>
    </xf>
    <xf numFmtId="0" fontId="58" fillId="6" borderId="22" xfId="0" applyFont="1" applyFill="1" applyBorder="1" applyAlignment="1">
      <alignment horizontal="left" vertical="center" indent="1"/>
    </xf>
    <xf numFmtId="0" fontId="59" fillId="6" borderId="24" xfId="0" applyFont="1" applyFill="1" applyBorder="1" applyAlignment="1">
      <alignment horizontal="left" vertical="center" indent="1"/>
    </xf>
    <xf numFmtId="164" fontId="53" fillId="6" borderId="0" xfId="0" applyNumberFormat="1" applyFont="1" applyFill="1" applyAlignment="1">
      <alignment vertical="center"/>
    </xf>
    <xf numFmtId="167" fontId="27" fillId="6" borderId="0" xfId="0" applyNumberFormat="1" applyFont="1" applyFill="1" applyAlignment="1" applyProtection="1">
      <alignment horizontal="left" vertical="center" indent="2"/>
      <protection locked="0"/>
    </xf>
    <xf numFmtId="0" fontId="59" fillId="6" borderId="26" xfId="0" applyFont="1" applyFill="1" applyBorder="1" applyAlignment="1">
      <alignment horizontal="left" indent="1"/>
    </xf>
    <xf numFmtId="0" fontId="50" fillId="6" borderId="0" xfId="0" applyFont="1" applyFill="1" applyAlignment="1">
      <alignment horizontal="left" vertical="center" indent="3"/>
    </xf>
    <xf numFmtId="0" fontId="50" fillId="6" borderId="0" xfId="0" applyFont="1" applyFill="1" applyAlignment="1">
      <alignment horizontal="left" vertical="center" indent="1"/>
    </xf>
    <xf numFmtId="2" fontId="0" fillId="6" borderId="0" xfId="0" applyNumberFormat="1" applyFill="1" applyAlignment="1">
      <alignment horizontal="left" indent="2"/>
    </xf>
    <xf numFmtId="2" fontId="60" fillId="6" borderId="0" xfId="0" applyNumberFormat="1" applyFont="1" applyFill="1" applyAlignment="1">
      <alignment vertical="top"/>
    </xf>
    <xf numFmtId="1" fontId="64" fillId="6" borderId="0" xfId="0" applyNumberFormat="1" applyFont="1" applyFill="1" applyAlignment="1">
      <alignment horizontal="right"/>
    </xf>
    <xf numFmtId="0" fontId="32" fillId="6" borderId="24" xfId="0" applyFont="1" applyFill="1" applyBorder="1" applyAlignment="1">
      <alignment horizontal="left" vertical="center"/>
    </xf>
    <xf numFmtId="1" fontId="97" fillId="6" borderId="0" xfId="0" applyNumberFormat="1" applyFont="1" applyFill="1" applyAlignment="1">
      <alignment vertical="center"/>
    </xf>
    <xf numFmtId="0" fontId="27" fillId="6" borderId="24" xfId="0" applyFont="1" applyFill="1" applyBorder="1" applyAlignment="1">
      <alignment horizontal="left" indent="1"/>
    </xf>
    <xf numFmtId="0" fontId="61" fillId="6" borderId="0" xfId="0" applyFont="1" applyFill="1"/>
    <xf numFmtId="168" fontId="53" fillId="6" borderId="0" xfId="0" applyNumberFormat="1" applyFont="1" applyFill="1" applyAlignment="1">
      <alignment vertical="center"/>
    </xf>
    <xf numFmtId="0" fontId="53" fillId="6" borderId="0" xfId="0" applyFont="1" applyFill="1" applyAlignment="1">
      <alignment horizontal="center" vertical="center"/>
    </xf>
    <xf numFmtId="0" fontId="0" fillId="6" borderId="24" xfId="0" applyFill="1" applyBorder="1"/>
    <xf numFmtId="170" fontId="0" fillId="0" borderId="0" xfId="0" applyNumberFormat="1"/>
    <xf numFmtId="9" fontId="59" fillId="6" borderId="23" xfId="0" applyNumberFormat="1" applyFont="1" applyFill="1" applyBorder="1" applyAlignment="1">
      <alignment horizontal="right" vertical="center" indent="1"/>
    </xf>
    <xf numFmtId="164" fontId="59" fillId="6" borderId="23" xfId="0" applyNumberFormat="1" applyFont="1" applyFill="1" applyBorder="1" applyAlignment="1">
      <alignment horizontal="right" vertical="center" indent="1"/>
    </xf>
    <xf numFmtId="9" fontId="59" fillId="6" borderId="25" xfId="0" applyNumberFormat="1" applyFont="1" applyFill="1" applyBorder="1" applyAlignment="1">
      <alignment horizontal="right" indent="1"/>
    </xf>
    <xf numFmtId="0" fontId="0" fillId="0" borderId="125" xfId="0" applyBorder="1"/>
    <xf numFmtId="0" fontId="0" fillId="0" borderId="126" xfId="0" applyBorder="1"/>
    <xf numFmtId="0" fontId="0" fillId="0" borderId="111" xfId="0" applyBorder="1"/>
    <xf numFmtId="0" fontId="0" fillId="0" borderId="123" xfId="0" applyBorder="1"/>
    <xf numFmtId="0" fontId="0" fillId="0" borderId="124" xfId="0" applyBorder="1"/>
    <xf numFmtId="0" fontId="2" fillId="0" borderId="128" xfId="0" applyFont="1" applyBorder="1"/>
    <xf numFmtId="1" fontId="6" fillId="2" borderId="81" xfId="0" applyNumberFormat="1" applyFont="1" applyFill="1" applyBorder="1" applyAlignment="1" applyProtection="1">
      <alignment horizontal="center" vertical="center"/>
      <protection locked="0"/>
    </xf>
    <xf numFmtId="171" fontId="0" fillId="0" borderId="0" xfId="0" applyNumberFormat="1" applyAlignment="1">
      <alignment horizontal="left" vertical="center"/>
    </xf>
    <xf numFmtId="0" fontId="32" fillId="3" borderId="126" xfId="0" applyFont="1" applyFill="1" applyBorder="1" applyAlignment="1">
      <alignment horizontal="right"/>
    </xf>
    <xf numFmtId="0" fontId="32" fillId="3" borderId="124" xfId="0" applyFont="1" applyFill="1" applyBorder="1" applyAlignment="1">
      <alignment horizontal="right"/>
    </xf>
    <xf numFmtId="0" fontId="58" fillId="6" borderId="20" xfId="0" applyFont="1" applyFill="1" applyBorder="1" applyAlignment="1">
      <alignment horizontal="left" vertical="center" indent="1"/>
    </xf>
    <xf numFmtId="9" fontId="28" fillId="6" borderId="111" xfId="0" applyNumberFormat="1" applyFont="1" applyFill="1" applyBorder="1"/>
    <xf numFmtId="164" fontId="28" fillId="6" borderId="126" xfId="0" applyNumberFormat="1" applyFont="1" applyFill="1" applyBorder="1" applyAlignment="1">
      <alignment vertical="center"/>
    </xf>
    <xf numFmtId="164" fontId="28" fillId="6" borderId="111" xfId="0" applyNumberFormat="1" applyFont="1" applyFill="1" applyBorder="1" applyAlignment="1">
      <alignment vertical="center"/>
    </xf>
    <xf numFmtId="164" fontId="28" fillId="6" borderId="124" xfId="0" applyNumberFormat="1" applyFont="1" applyFill="1" applyBorder="1" applyAlignment="1">
      <alignment vertical="center"/>
    </xf>
    <xf numFmtId="0" fontId="11" fillId="3" borderId="128" xfId="0" applyFont="1" applyFill="1" applyBorder="1" applyAlignment="1">
      <alignment horizontal="left" vertical="center" indent="1"/>
    </xf>
    <xf numFmtId="0" fontId="32" fillId="3" borderId="129" xfId="0" applyFont="1" applyFill="1" applyBorder="1" applyAlignment="1">
      <alignment horizontal="right"/>
    </xf>
    <xf numFmtId="164" fontId="0" fillId="0" borderId="0" xfId="0" applyNumberFormat="1" applyAlignment="1">
      <alignment horizontal="center" vertical="center"/>
    </xf>
    <xf numFmtId="0" fontId="0" fillId="0" borderId="7" xfId="0" applyBorder="1" applyAlignment="1">
      <alignment vertical="center"/>
    </xf>
    <xf numFmtId="164" fontId="0" fillId="0" borderId="7" xfId="0" applyNumberFormat="1" applyBorder="1" applyAlignment="1">
      <alignment horizontal="center" vertical="center"/>
    </xf>
    <xf numFmtId="1" fontId="32" fillId="0" borderId="0" xfId="0" applyNumberFormat="1" applyFont="1"/>
    <xf numFmtId="0" fontId="32" fillId="6" borderId="0" xfId="0" applyFont="1" applyFill="1" applyAlignment="1">
      <alignment horizontal="right"/>
    </xf>
    <xf numFmtId="0" fontId="2" fillId="0" borderId="130" xfId="0" applyFont="1" applyBorder="1"/>
    <xf numFmtId="0" fontId="0" fillId="0" borderId="131" xfId="0" applyBorder="1"/>
    <xf numFmtId="182" fontId="0" fillId="0" borderId="0" xfId="0" applyNumberFormat="1"/>
    <xf numFmtId="0" fontId="2" fillId="0" borderId="112" xfId="0" applyFont="1" applyBorder="1" applyAlignment="1">
      <alignment horizontal="center"/>
    </xf>
    <xf numFmtId="0" fontId="0" fillId="0" borderId="132" xfId="0" applyBorder="1" applyAlignment="1">
      <alignment horizontal="center"/>
    </xf>
    <xf numFmtId="0" fontId="0" fillId="0" borderId="114" xfId="0" applyBorder="1" applyAlignment="1">
      <alignment horizontal="center"/>
    </xf>
    <xf numFmtId="164" fontId="27" fillId="6" borderId="0" xfId="0" applyNumberFormat="1" applyFont="1" applyFill="1" applyAlignment="1">
      <alignment horizontal="left" vertical="center" indent="2"/>
    </xf>
    <xf numFmtId="0" fontId="11" fillId="3" borderId="129" xfId="0" applyFont="1" applyFill="1" applyBorder="1" applyAlignment="1">
      <alignment horizontal="left" indent="1"/>
    </xf>
    <xf numFmtId="0" fontId="175" fillId="6" borderId="0" xfId="0" applyFont="1" applyFill="1" applyAlignment="1">
      <alignment horizontal="left" vertical="center" indent="1"/>
    </xf>
    <xf numFmtId="1" fontId="176" fillId="6" borderId="0" xfId="0" applyNumberFormat="1" applyFont="1" applyFill="1" applyAlignment="1">
      <alignment horizontal="right"/>
    </xf>
    <xf numFmtId="1" fontId="177" fillId="6" borderId="0" xfId="0" applyNumberFormat="1" applyFont="1" applyFill="1" applyAlignment="1">
      <alignment horizontal="left" vertical="top" indent="1"/>
    </xf>
    <xf numFmtId="1" fontId="178" fillId="6" borderId="0" xfId="0" applyNumberFormat="1" applyFont="1" applyFill="1" applyAlignment="1">
      <alignment vertical="center"/>
    </xf>
    <xf numFmtId="9" fontId="65" fillId="6" borderId="0" xfId="0" applyNumberFormat="1" applyFont="1" applyFill="1" applyAlignment="1">
      <alignment horizontal="center" vertical="top"/>
    </xf>
    <xf numFmtId="9" fontId="65" fillId="6" borderId="0" xfId="0" applyNumberFormat="1" applyFont="1" applyFill="1" applyAlignment="1">
      <alignment horizontal="left" vertical="top" indent="1"/>
    </xf>
    <xf numFmtId="170" fontId="51" fillId="6" borderId="0" xfId="0" applyNumberFormat="1" applyFont="1" applyFill="1" applyAlignment="1">
      <alignment vertical="center"/>
    </xf>
    <xf numFmtId="10" fontId="28" fillId="9" borderId="0" xfId="0" applyNumberFormat="1" applyFont="1" applyFill="1" applyAlignment="1">
      <alignment horizontal="left"/>
    </xf>
    <xf numFmtId="0" fontId="179" fillId="9" borderId="48" xfId="0" applyFont="1" applyFill="1" applyBorder="1" applyAlignment="1">
      <alignment vertical="center"/>
    </xf>
    <xf numFmtId="0" fontId="28" fillId="9" borderId="48" xfId="0" applyFont="1" applyFill="1" applyBorder="1" applyAlignment="1">
      <alignment horizontal="right"/>
    </xf>
    <xf numFmtId="0" fontId="84" fillId="2" borderId="0" xfId="0" applyFont="1" applyFill="1"/>
    <xf numFmtId="0" fontId="64" fillId="2" borderId="125" xfId="0" applyFont="1" applyFill="1" applyBorder="1"/>
    <xf numFmtId="0" fontId="64" fillId="2" borderId="131" xfId="0" applyFont="1" applyFill="1" applyBorder="1" applyAlignment="1">
      <alignment horizontal="center"/>
    </xf>
    <xf numFmtId="0" fontId="64" fillId="2" borderId="131" xfId="0" applyFont="1" applyFill="1" applyBorder="1"/>
    <xf numFmtId="0" fontId="64" fillId="2" borderId="115" xfId="0" applyFont="1" applyFill="1" applyBorder="1"/>
    <xf numFmtId="0" fontId="68" fillId="2" borderId="0" xfId="0" applyFont="1" applyFill="1" applyAlignment="1">
      <alignment horizontal="left"/>
    </xf>
    <xf numFmtId="0" fontId="64" fillId="2" borderId="0" xfId="0" applyFont="1" applyFill="1" applyAlignment="1">
      <alignment horizontal="left" vertical="top"/>
    </xf>
    <xf numFmtId="0" fontId="64" fillId="2" borderId="123" xfId="0" applyFont="1" applyFill="1" applyBorder="1"/>
    <xf numFmtId="0" fontId="64" fillId="2" borderId="116" xfId="0" applyFont="1" applyFill="1" applyBorder="1" applyAlignment="1">
      <alignment horizontal="center"/>
    </xf>
    <xf numFmtId="0" fontId="64" fillId="2" borderId="116" xfId="0" applyFont="1" applyFill="1" applyBorder="1"/>
    <xf numFmtId="0" fontId="85" fillId="2" borderId="0" xfId="0" applyFont="1" applyFill="1" applyAlignment="1">
      <alignment horizontal="left"/>
    </xf>
    <xf numFmtId="166" fontId="6" fillId="2" borderId="0" xfId="0" applyNumberFormat="1" applyFont="1" applyFill="1" applyAlignment="1">
      <alignment horizontal="center"/>
    </xf>
    <xf numFmtId="166" fontId="64" fillId="2" borderId="0" xfId="0" applyNumberFormat="1" applyFont="1" applyFill="1" applyAlignment="1">
      <alignment horizontal="center"/>
    </xf>
    <xf numFmtId="0" fontId="84" fillId="2" borderId="0" xfId="0" applyFont="1" applyFill="1" applyAlignment="1">
      <alignment horizontal="left" vertical="center"/>
    </xf>
    <xf numFmtId="0" fontId="84" fillId="2" borderId="115" xfId="0" applyFont="1" applyFill="1" applyBorder="1"/>
    <xf numFmtId="0" fontId="64" fillId="2" borderId="0" xfId="0" quotePrefix="1" applyFont="1" applyFill="1" applyAlignment="1">
      <alignment horizontal="left" indent="2"/>
    </xf>
    <xf numFmtId="0" fontId="64" fillId="2" borderId="0" xfId="0" quotePrefix="1" applyFont="1" applyFill="1" applyAlignment="1">
      <alignment horizontal="left"/>
    </xf>
    <xf numFmtId="174" fontId="64" fillId="2" borderId="0" xfId="0" applyNumberFormat="1" applyFont="1" applyFill="1" applyAlignment="1" applyProtection="1">
      <alignment horizontal="center"/>
      <protection locked="0"/>
    </xf>
    <xf numFmtId="0" fontId="68" fillId="2" borderId="0" xfId="0" quotePrefix="1" applyFont="1" applyFill="1" applyAlignment="1">
      <alignment horizontal="left"/>
    </xf>
    <xf numFmtId="0" fontId="68" fillId="2" borderId="0" xfId="0" quotePrefix="1" applyFont="1" applyFill="1" applyAlignment="1">
      <alignment horizontal="left" vertical="top"/>
    </xf>
    <xf numFmtId="0" fontId="70" fillId="2" borderId="123" xfId="0" applyFont="1" applyFill="1" applyBorder="1"/>
    <xf numFmtId="0" fontId="68" fillId="2" borderId="116" xfId="0" applyFont="1" applyFill="1" applyBorder="1" applyAlignment="1">
      <alignment horizontal="left"/>
    </xf>
    <xf numFmtId="0" fontId="0" fillId="3" borderId="116" xfId="0" applyFill="1" applyBorder="1"/>
    <xf numFmtId="0" fontId="64" fillId="3" borderId="116" xfId="0" applyFont="1" applyFill="1" applyBorder="1"/>
    <xf numFmtId="0" fontId="104" fillId="0" borderId="0" xfId="0" applyFont="1" applyAlignment="1">
      <alignment horizontal="center" vertical="center" wrapText="1"/>
    </xf>
    <xf numFmtId="0" fontId="103" fillId="2" borderId="0" xfId="0" applyFont="1" applyFill="1" applyAlignment="1">
      <alignment horizontal="center" vertical="center" wrapText="1"/>
    </xf>
    <xf numFmtId="0" fontId="103" fillId="3" borderId="133" xfId="0" applyFont="1" applyFill="1" applyBorder="1" applyAlignment="1">
      <alignment horizontal="center" vertical="center" wrapText="1"/>
    </xf>
    <xf numFmtId="0" fontId="104" fillId="0" borderId="134" xfId="0" applyFont="1" applyBorder="1" applyAlignment="1">
      <alignment horizontal="center" vertical="center" wrapText="1"/>
    </xf>
    <xf numFmtId="0" fontId="104" fillId="0" borderId="135" xfId="0" applyFont="1" applyBorder="1" applyAlignment="1">
      <alignment horizontal="center" vertical="center" wrapText="1"/>
    </xf>
    <xf numFmtId="0" fontId="103" fillId="3" borderId="11" xfId="0" applyFont="1" applyFill="1" applyBorder="1" applyAlignment="1">
      <alignment horizontal="center" vertical="center" wrapText="1"/>
    </xf>
    <xf numFmtId="0" fontId="104" fillId="0" borderId="11" xfId="0" applyFont="1" applyBorder="1" applyAlignment="1">
      <alignment horizontal="center" vertical="center" wrapText="1"/>
    </xf>
    <xf numFmtId="0" fontId="64" fillId="4" borderId="0" xfId="0" applyFont="1" applyFill="1"/>
    <xf numFmtId="0" fontId="64" fillId="4" borderId="0" xfId="0" applyFont="1" applyFill="1" applyAlignment="1">
      <alignment horizontal="center"/>
    </xf>
    <xf numFmtId="49" fontId="64" fillId="4" borderId="0" xfId="0" applyNumberFormat="1" applyFont="1" applyFill="1" applyAlignment="1">
      <alignment horizontal="center"/>
    </xf>
    <xf numFmtId="0" fontId="64" fillId="4" borderId="0" xfId="0" applyFont="1" applyFill="1" applyAlignment="1">
      <alignment horizontal="left" vertical="center"/>
    </xf>
    <xf numFmtId="9" fontId="64" fillId="0" borderId="14" xfId="0" applyNumberFormat="1" applyFont="1" applyBorder="1" applyAlignment="1">
      <alignment horizontal="center" vertical="center" wrapText="1"/>
    </xf>
    <xf numFmtId="164" fontId="0" fillId="0" borderId="0" xfId="0" applyNumberFormat="1"/>
    <xf numFmtId="0" fontId="32" fillId="3" borderId="8" xfId="0" applyFont="1" applyFill="1" applyBorder="1"/>
    <xf numFmtId="0" fontId="32" fillId="3" borderId="2" xfId="0" applyFont="1" applyFill="1" applyBorder="1"/>
    <xf numFmtId="0" fontId="152" fillId="0" borderId="0" xfId="0" applyFont="1"/>
    <xf numFmtId="0" fontId="34" fillId="11" borderId="0" xfId="0" applyFont="1" applyFill="1" applyProtection="1">
      <protection locked="0"/>
    </xf>
    <xf numFmtId="49" fontId="0" fillId="0" borderId="0" xfId="0" applyNumberFormat="1" applyAlignment="1">
      <alignment horizontal="center" vertical="center"/>
    </xf>
    <xf numFmtId="49" fontId="0" fillId="0" borderId="7" xfId="0" applyNumberFormat="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left" indent="2"/>
    </xf>
    <xf numFmtId="0" fontId="130" fillId="2" borderId="7" xfId="0" applyFont="1" applyFill="1" applyBorder="1" applyAlignment="1">
      <alignment horizontal="center"/>
    </xf>
    <xf numFmtId="166" fontId="130" fillId="2" borderId="7" xfId="0" applyNumberFormat="1" applyFont="1" applyFill="1" applyBorder="1" applyAlignment="1">
      <alignment horizontal="left"/>
    </xf>
    <xf numFmtId="166" fontId="108" fillId="2" borderId="7" xfId="0" applyNumberFormat="1" applyFont="1" applyFill="1" applyBorder="1" applyAlignment="1">
      <alignment horizontal="left"/>
    </xf>
    <xf numFmtId="168" fontId="130" fillId="2" borderId="7" xfId="0" applyNumberFormat="1" applyFont="1" applyFill="1" applyBorder="1" applyAlignment="1">
      <alignment horizontal="center"/>
    </xf>
    <xf numFmtId="0" fontId="40" fillId="6" borderId="0" xfId="0" applyFont="1" applyFill="1" applyAlignment="1">
      <alignment horizontal="center"/>
    </xf>
    <xf numFmtId="9" fontId="6" fillId="2" borderId="0" xfId="0" applyNumberFormat="1" applyFont="1" applyFill="1"/>
    <xf numFmtId="168" fontId="130" fillId="2" borderId="7" xfId="0" applyNumberFormat="1" applyFont="1" applyFill="1" applyBorder="1" applyAlignment="1">
      <alignment horizontal="left" indent="2"/>
    </xf>
    <xf numFmtId="10" fontId="59" fillId="6" borderId="23" xfId="0" applyNumberFormat="1" applyFont="1" applyFill="1" applyBorder="1"/>
    <xf numFmtId="0" fontId="32" fillId="3" borderId="9" xfId="0" applyFont="1" applyFill="1" applyBorder="1" applyAlignment="1">
      <alignment horizontal="left" vertical="center" indent="1"/>
    </xf>
    <xf numFmtId="0" fontId="32" fillId="3" borderId="1" xfId="0" applyFont="1" applyFill="1" applyBorder="1" applyAlignment="1">
      <alignment horizontal="left" indent="1"/>
    </xf>
    <xf numFmtId="0" fontId="68" fillId="2" borderId="0" xfId="0" applyFont="1" applyFill="1" applyAlignment="1">
      <alignment horizontal="center"/>
    </xf>
    <xf numFmtId="183" fontId="64" fillId="2" borderId="0" xfId="0" applyNumberFormat="1" applyFont="1" applyFill="1" applyAlignment="1">
      <alignment horizontal="center"/>
    </xf>
    <xf numFmtId="184" fontId="64" fillId="2" borderId="0" xfId="0" applyNumberFormat="1" applyFont="1" applyFill="1" applyAlignment="1">
      <alignment horizontal="center"/>
    </xf>
    <xf numFmtId="183" fontId="64" fillId="7" borderId="14" xfId="0" applyNumberFormat="1" applyFont="1" applyFill="1" applyBorder="1" applyAlignment="1" applyProtection="1">
      <alignment horizontal="center"/>
      <protection locked="0"/>
    </xf>
    <xf numFmtId="0" fontId="11" fillId="12" borderId="112" xfId="0" applyFont="1" applyFill="1" applyBorder="1" applyAlignment="1">
      <alignment horizontal="left" vertical="center" indent="1"/>
    </xf>
    <xf numFmtId="3" fontId="39" fillId="6" borderId="0" xfId="0" applyNumberFormat="1" applyFont="1" applyFill="1" applyAlignment="1">
      <alignment horizontal="center" vertical="center"/>
    </xf>
    <xf numFmtId="0" fontId="34" fillId="6" borderId="7" xfId="0" applyFont="1" applyFill="1" applyBorder="1"/>
    <xf numFmtId="0" fontId="44" fillId="6" borderId="40" xfId="0" applyFont="1" applyFill="1" applyBorder="1"/>
    <xf numFmtId="9" fontId="59" fillId="6" borderId="19" xfId="0" applyNumberFormat="1" applyFont="1" applyFill="1" applyBorder="1"/>
    <xf numFmtId="168" fontId="108" fillId="3" borderId="7" xfId="0" applyNumberFormat="1" applyFont="1" applyFill="1" applyBorder="1" applyAlignment="1">
      <alignment horizontal="left"/>
    </xf>
    <xf numFmtId="0" fontId="11" fillId="3" borderId="7" xfId="0" applyFont="1" applyFill="1" applyBorder="1" applyAlignment="1">
      <alignment horizontal="right"/>
    </xf>
    <xf numFmtId="166" fontId="11" fillId="3" borderId="7" xfId="0" applyNumberFormat="1" applyFont="1" applyFill="1" applyBorder="1" applyAlignment="1">
      <alignment horizontal="left"/>
    </xf>
    <xf numFmtId="0" fontId="11" fillId="3" borderId="7" xfId="0" applyFont="1" applyFill="1" applyBorder="1" applyAlignment="1">
      <alignment horizontal="left" indent="3"/>
    </xf>
    <xf numFmtId="0" fontId="186" fillId="3" borderId="9" xfId="0" applyFont="1" applyFill="1" applyBorder="1" applyAlignment="1">
      <alignment horizontal="left" vertical="center" indent="1"/>
    </xf>
    <xf numFmtId="0" fontId="155" fillId="7" borderId="14" xfId="0" applyFont="1" applyFill="1" applyBorder="1" applyAlignment="1" applyProtection="1">
      <alignment horizontal="center"/>
      <protection locked="0"/>
    </xf>
    <xf numFmtId="0" fontId="32" fillId="0" borderId="7" xfId="0" applyFont="1" applyBorder="1" applyAlignment="1">
      <alignment horizontal="left" vertical="top" indent="1"/>
    </xf>
    <xf numFmtId="164" fontId="59" fillId="6" borderId="58" xfId="0" applyNumberFormat="1" applyFont="1" applyFill="1" applyBorder="1" applyAlignment="1">
      <alignment horizontal="right"/>
    </xf>
    <xf numFmtId="164" fontId="59" fillId="6" borderId="57" xfId="0" applyNumberFormat="1" applyFont="1" applyFill="1" applyBorder="1" applyAlignment="1">
      <alignment horizontal="right" vertical="center"/>
    </xf>
    <xf numFmtId="1" fontId="0" fillId="0" borderId="0" xfId="0" applyNumberFormat="1"/>
    <xf numFmtId="0" fontId="0" fillId="0" borderId="7" xfId="0" applyBorder="1" applyAlignment="1">
      <alignment horizontal="left" vertical="center"/>
    </xf>
    <xf numFmtId="10" fontId="0" fillId="0" borderId="0" xfId="0" applyNumberFormat="1" applyAlignment="1">
      <alignment horizontal="left"/>
    </xf>
    <xf numFmtId="10" fontId="0" fillId="0" borderId="0" xfId="0" applyNumberFormat="1" applyAlignment="1">
      <alignment horizontal="center" vertical="center"/>
    </xf>
    <xf numFmtId="0" fontId="0" fillId="0" borderId="7" xfId="0" applyBorder="1" applyAlignment="1">
      <alignment horizontal="center"/>
    </xf>
    <xf numFmtId="0" fontId="0" fillId="0" borderId="7" xfId="0" applyBorder="1" applyAlignment="1">
      <alignment horizontal="center" vertical="center"/>
    </xf>
    <xf numFmtId="185" fontId="0" fillId="0" borderId="0" xfId="0" applyNumberFormat="1"/>
    <xf numFmtId="185" fontId="0" fillId="0" borderId="0" xfId="0" applyNumberFormat="1" applyAlignment="1">
      <alignment horizontal="right"/>
    </xf>
    <xf numFmtId="185" fontId="28" fillId="0" borderId="0" xfId="0" applyNumberFormat="1" applyFont="1" applyAlignment="1">
      <alignment horizontal="left"/>
    </xf>
    <xf numFmtId="185" fontId="0" fillId="0" borderId="0" xfId="0" applyNumberFormat="1" applyAlignment="1">
      <alignment horizontal="center"/>
    </xf>
    <xf numFmtId="0" fontId="40" fillId="2" borderId="0" xfId="0" applyFont="1" applyFill="1"/>
    <xf numFmtId="0" fontId="96" fillId="2" borderId="0" xfId="0" applyFont="1" applyFill="1" applyAlignment="1">
      <alignment horizontal="center"/>
    </xf>
    <xf numFmtId="9" fontId="95" fillId="2" borderId="0" xfId="0" applyNumberFormat="1" applyFont="1" applyFill="1" applyAlignment="1">
      <alignment horizontal="left" indent="1"/>
    </xf>
    <xf numFmtId="0" fontId="65" fillId="2" borderId="0" xfId="0" applyFont="1" applyFill="1"/>
    <xf numFmtId="164" fontId="95" fillId="2" borderId="0" xfId="0" applyNumberFormat="1" applyFont="1" applyFill="1" applyAlignment="1">
      <alignment horizontal="left" indent="1"/>
    </xf>
    <xf numFmtId="10" fontId="95" fillId="2" borderId="0" xfId="0" applyNumberFormat="1" applyFont="1" applyFill="1" applyAlignment="1">
      <alignment horizontal="left" indent="1"/>
    </xf>
    <xf numFmtId="10" fontId="32" fillId="2" borderId="0" xfId="0" applyNumberFormat="1" applyFont="1" applyFill="1" applyAlignment="1" applyProtection="1">
      <alignment horizontal="center"/>
      <protection locked="0"/>
    </xf>
    <xf numFmtId="0" fontId="65" fillId="2" borderId="0" xfId="0" applyFont="1" applyFill="1" applyAlignment="1">
      <alignment horizontal="left" indent="1"/>
    </xf>
    <xf numFmtId="0" fontId="27" fillId="11" borderId="0" xfId="0" applyFont="1" applyFill="1" applyAlignment="1">
      <alignment horizontal="left" indent="4"/>
    </xf>
    <xf numFmtId="0" fontId="64" fillId="0" borderId="0" xfId="0" applyFont="1" applyAlignment="1">
      <alignment vertical="center"/>
    </xf>
    <xf numFmtId="2" fontId="6" fillId="0" borderId="0" xfId="0" applyNumberFormat="1" applyFont="1" applyAlignment="1">
      <alignment vertical="center"/>
    </xf>
    <xf numFmtId="0" fontId="37" fillId="0" borderId="0" xfId="0" applyFont="1" applyAlignment="1">
      <alignment vertical="center"/>
    </xf>
    <xf numFmtId="1" fontId="28" fillId="0" borderId="0" xfId="0" applyNumberFormat="1" applyFont="1" applyAlignment="1">
      <alignment horizontal="center" vertical="center"/>
    </xf>
    <xf numFmtId="2" fontId="6" fillId="0" borderId="0" xfId="0" applyNumberFormat="1" applyFont="1" applyAlignment="1">
      <alignment horizontal="center"/>
    </xf>
    <xf numFmtId="2" fontId="6" fillId="0" borderId="0" xfId="0" applyNumberFormat="1" applyFont="1"/>
    <xf numFmtId="1" fontId="69" fillId="0" borderId="0" xfId="0" applyNumberFormat="1" applyFont="1" applyAlignment="1">
      <alignment vertical="center" wrapText="1"/>
    </xf>
    <xf numFmtId="0" fontId="107" fillId="13" borderId="0" xfId="0" applyFont="1" applyFill="1"/>
    <xf numFmtId="0" fontId="0" fillId="13" borderId="0" xfId="0" applyFill="1"/>
    <xf numFmtId="0" fontId="2" fillId="11" borderId="0" xfId="0" applyFont="1" applyFill="1" applyAlignment="1">
      <alignment vertical="center"/>
    </xf>
    <xf numFmtId="0" fontId="64" fillId="3" borderId="9" xfId="0" applyFont="1" applyFill="1" applyBorder="1" applyAlignment="1">
      <alignment horizontal="left" vertical="center" indent="1"/>
    </xf>
    <xf numFmtId="0" fontId="6" fillId="3" borderId="1" xfId="0" applyFont="1" applyFill="1" applyBorder="1" applyAlignment="1">
      <alignment horizontal="left" vertical="center" indent="1"/>
    </xf>
    <xf numFmtId="0" fontId="9" fillId="3" borderId="5" xfId="0" applyFont="1" applyFill="1" applyBorder="1" applyAlignment="1">
      <alignment horizontal="left" vertical="top" indent="1"/>
    </xf>
    <xf numFmtId="0" fontId="9" fillId="3" borderId="7" xfId="0" applyFont="1" applyFill="1" applyBorder="1" applyAlignment="1">
      <alignment horizontal="left" vertical="top" indent="1"/>
    </xf>
    <xf numFmtId="0" fontId="32" fillId="11" borderId="140" xfId="0" applyFont="1" applyFill="1" applyBorder="1"/>
    <xf numFmtId="0" fontId="0" fillId="2" borderId="141" xfId="0" applyFill="1" applyBorder="1"/>
    <xf numFmtId="0" fontId="6" fillId="3" borderId="5" xfId="0" applyFont="1" applyFill="1" applyBorder="1" applyAlignment="1">
      <alignment horizontal="left" vertical="top" indent="1"/>
    </xf>
    <xf numFmtId="2" fontId="6" fillId="11" borderId="24" xfId="0" applyNumberFormat="1" applyFont="1" applyFill="1" applyBorder="1"/>
    <xf numFmtId="1" fontId="69" fillId="11" borderId="24" xfId="0" applyNumberFormat="1" applyFont="1" applyFill="1" applyBorder="1" applyAlignment="1">
      <alignment vertical="center" wrapText="1"/>
    </xf>
    <xf numFmtId="0" fontId="64" fillId="11" borderId="24" xfId="0" applyFont="1" applyFill="1" applyBorder="1" applyAlignment="1">
      <alignment vertical="center"/>
    </xf>
    <xf numFmtId="0" fontId="32" fillId="3" borderId="5" xfId="0" applyFont="1" applyFill="1" applyBorder="1" applyAlignment="1">
      <alignment horizontal="left" vertical="top" indent="1"/>
    </xf>
    <xf numFmtId="0" fontId="156" fillId="2" borderId="0" xfId="0" applyFont="1" applyFill="1" applyAlignment="1">
      <alignment horizontal="left" indent="1"/>
    </xf>
    <xf numFmtId="0" fontId="156" fillId="2" borderId="0" xfId="0" applyFont="1" applyFill="1" applyAlignment="1">
      <alignment horizontal="left" vertical="top" indent="1"/>
    </xf>
    <xf numFmtId="0" fontId="32" fillId="2" borderId="0" xfId="0" applyFont="1" applyFill="1" applyAlignment="1">
      <alignment horizontal="left" vertical="top" indent="1"/>
    </xf>
    <xf numFmtId="2" fontId="6" fillId="11" borderId="24" xfId="0" applyNumberFormat="1" applyFont="1" applyFill="1" applyBorder="1" applyAlignment="1">
      <alignment vertical="center"/>
    </xf>
    <xf numFmtId="0" fontId="37" fillId="11" borderId="24" xfId="0" applyFont="1" applyFill="1" applyBorder="1" applyAlignment="1">
      <alignment vertical="center"/>
    </xf>
    <xf numFmtId="0" fontId="0" fillId="12" borderId="1" xfId="0" applyFill="1" applyBorder="1"/>
    <xf numFmtId="0" fontId="0" fillId="12" borderId="8" xfId="0" applyFill="1" applyBorder="1"/>
    <xf numFmtId="164" fontId="0" fillId="12" borderId="8" xfId="0" applyNumberFormat="1" applyFill="1" applyBorder="1" applyAlignment="1">
      <alignment horizontal="center" vertical="top"/>
    </xf>
    <xf numFmtId="0" fontId="25" fillId="12" borderId="1" xfId="0" applyFont="1" applyFill="1" applyBorder="1" applyAlignment="1">
      <alignment horizontal="left" indent="1"/>
    </xf>
    <xf numFmtId="0" fontId="25" fillId="12" borderId="8" xfId="0" applyFont="1" applyFill="1" applyBorder="1"/>
    <xf numFmtId="0" fontId="25" fillId="12" borderId="2" xfId="0" applyFont="1" applyFill="1" applyBorder="1"/>
    <xf numFmtId="0" fontId="2" fillId="12" borderId="7" xfId="0" applyFont="1" applyFill="1" applyBorder="1" applyAlignment="1">
      <alignment vertical="center"/>
    </xf>
    <xf numFmtId="164" fontId="2" fillId="12" borderId="7" xfId="0" applyNumberFormat="1" applyFont="1" applyFill="1" applyBorder="1" applyAlignment="1">
      <alignment horizontal="center" vertical="center"/>
    </xf>
    <xf numFmtId="0" fontId="2" fillId="12" borderId="7" xfId="0" applyFont="1" applyFill="1" applyBorder="1" applyAlignment="1">
      <alignment horizontal="center" vertical="center"/>
    </xf>
    <xf numFmtId="0" fontId="2" fillId="12" borderId="5" xfId="0" applyFont="1" applyFill="1" applyBorder="1" applyAlignment="1">
      <alignment horizontal="center" vertical="center"/>
    </xf>
    <xf numFmtId="0" fontId="32" fillId="0" borderId="111" xfId="0" applyFont="1" applyBorder="1"/>
    <xf numFmtId="0" fontId="31" fillId="6" borderId="0" xfId="0" applyFont="1" applyFill="1" applyAlignment="1">
      <alignment horizontal="left" indent="4"/>
    </xf>
    <xf numFmtId="0" fontId="186" fillId="4" borderId="9" xfId="0" applyFont="1" applyFill="1" applyBorder="1" applyAlignment="1">
      <alignment horizontal="left" vertical="center" indent="1"/>
    </xf>
    <xf numFmtId="0" fontId="64" fillId="2" borderId="3" xfId="0" applyFont="1" applyFill="1" applyBorder="1"/>
    <xf numFmtId="0" fontId="31" fillId="6" borderId="0" xfId="0" applyFont="1" applyFill="1" applyAlignment="1">
      <alignment horizontal="left" indent="3"/>
    </xf>
    <xf numFmtId="0" fontId="28" fillId="6" borderId="0" xfId="0" applyFont="1" applyFill="1" applyAlignment="1">
      <alignment horizontal="left" vertical="center" indent="3"/>
    </xf>
    <xf numFmtId="0" fontId="28" fillId="6" borderId="0" xfId="0" applyFont="1" applyFill="1" applyAlignment="1">
      <alignment horizontal="left" indent="3"/>
    </xf>
    <xf numFmtId="0" fontId="28" fillId="6" borderId="0" xfId="0" applyFont="1" applyFill="1" applyAlignment="1">
      <alignment horizontal="left" vertical="top" indent="3"/>
    </xf>
    <xf numFmtId="0" fontId="40" fillId="6" borderId="0" xfId="0" applyFont="1" applyFill="1" applyAlignment="1">
      <alignment horizontal="left" indent="3"/>
    </xf>
    <xf numFmtId="0" fontId="33" fillId="6" borderId="0" xfId="0" applyFont="1" applyFill="1" applyAlignment="1">
      <alignment horizontal="center"/>
    </xf>
    <xf numFmtId="0" fontId="33" fillId="6" borderId="0" xfId="0" applyFont="1" applyFill="1" applyAlignment="1">
      <alignment horizontal="right"/>
    </xf>
    <xf numFmtId="0" fontId="44" fillId="6" borderId="18" xfId="0" applyFont="1" applyFill="1" applyBorder="1"/>
    <xf numFmtId="0" fontId="33" fillId="6" borderId="18" xfId="0" applyFont="1" applyFill="1" applyBorder="1"/>
    <xf numFmtId="0" fontId="41" fillId="6" borderId="0" xfId="0" applyFont="1" applyFill="1" applyAlignment="1">
      <alignment horizontal="left"/>
    </xf>
    <xf numFmtId="0" fontId="42" fillId="14" borderId="7" xfId="0" applyFont="1" applyFill="1" applyBorder="1" applyAlignment="1">
      <alignment horizontal="left" vertical="center" indent="1"/>
    </xf>
    <xf numFmtId="0" fontId="69" fillId="14" borderId="7" xfId="0" applyFont="1" applyFill="1" applyBorder="1" applyAlignment="1">
      <alignment horizontal="left" vertical="center" indent="1"/>
    </xf>
    <xf numFmtId="0" fontId="187" fillId="14" borderId="7" xfId="0" applyFont="1" applyFill="1" applyBorder="1" applyAlignment="1">
      <alignment horizontal="left" vertical="center" indent="1"/>
    </xf>
    <xf numFmtId="0" fontId="31" fillId="6" borderId="0" xfId="0" applyFont="1" applyFill="1" applyAlignment="1">
      <alignment horizontal="left" vertical="center" indent="6"/>
    </xf>
    <xf numFmtId="1" fontId="11" fillId="0" borderId="54" xfId="0" applyNumberFormat="1" applyFont="1" applyBorder="1" applyAlignment="1" applyProtection="1">
      <alignment horizontal="center"/>
      <protection locked="0"/>
    </xf>
    <xf numFmtId="0" fontId="11" fillId="0" borderId="142" xfId="0" applyFont="1" applyBorder="1" applyAlignment="1" applyProtection="1">
      <alignment horizontal="center"/>
      <protection locked="0"/>
    </xf>
    <xf numFmtId="0" fontId="0" fillId="6" borderId="0" xfId="0" applyFill="1" applyAlignment="1">
      <alignment horizontal="center" vertical="center"/>
    </xf>
    <xf numFmtId="2" fontId="0" fillId="0" borderId="0" xfId="0" applyNumberFormat="1" applyAlignment="1">
      <alignment horizontal="center" vertical="center"/>
    </xf>
    <xf numFmtId="0" fontId="2" fillId="0" borderId="15" xfId="0" applyFont="1" applyBorder="1" applyAlignment="1">
      <alignment horizontal="center" vertical="center"/>
    </xf>
    <xf numFmtId="0" fontId="64" fillId="0" borderId="143" xfId="0" applyFont="1" applyBorder="1" applyAlignment="1" applyProtection="1">
      <alignment horizontal="center"/>
      <protection locked="0"/>
    </xf>
    <xf numFmtId="186" fontId="28" fillId="6" borderId="0" xfId="0" applyNumberFormat="1" applyFont="1" applyFill="1" applyAlignment="1">
      <alignment horizontal="center"/>
    </xf>
    <xf numFmtId="1" fontId="32" fillId="0" borderId="7" xfId="0" applyNumberFormat="1" applyFont="1" applyBorder="1"/>
    <xf numFmtId="0" fontId="32" fillId="0" borderId="14" xfId="0" applyFont="1" applyBorder="1" applyAlignment="1">
      <alignment horizontal="left" indent="1"/>
    </xf>
    <xf numFmtId="10" fontId="32" fillId="0" borderId="14" xfId="0" applyNumberFormat="1" applyFont="1" applyBorder="1"/>
    <xf numFmtId="10" fontId="32" fillId="0" borderId="14" xfId="0" applyNumberFormat="1" applyFont="1" applyBorder="1" applyAlignment="1">
      <alignment horizontal="right"/>
    </xf>
    <xf numFmtId="10" fontId="32" fillId="0" borderId="14" xfId="4" applyNumberFormat="1" applyFont="1" applyFill="1" applyBorder="1" applyAlignment="1">
      <alignment horizontal="right"/>
    </xf>
    <xf numFmtId="0" fontId="0" fillId="2" borderId="0" xfId="0" applyFill="1" applyAlignment="1" applyProtection="1">
      <alignment horizontal="center" vertical="center"/>
      <protection locked="0"/>
    </xf>
    <xf numFmtId="0" fontId="0" fillId="0" borderId="48" xfId="0" applyBorder="1"/>
    <xf numFmtId="0" fontId="0" fillId="2" borderId="3" xfId="0" applyFill="1" applyBorder="1" applyAlignment="1">
      <alignment horizontal="right"/>
    </xf>
    <xf numFmtId="0" fontId="0" fillId="3" borderId="96" xfId="0" applyFill="1" applyBorder="1" applyAlignment="1">
      <alignment horizontal="left" vertical="center" indent="1"/>
    </xf>
    <xf numFmtId="0" fontId="0" fillId="3" borderId="1" xfId="0" applyFill="1" applyBorder="1" applyAlignment="1">
      <alignment horizontal="left" vertical="center" indent="1"/>
    </xf>
    <xf numFmtId="0" fontId="0" fillId="3" borderId="5" xfId="0" applyFill="1" applyBorder="1" applyAlignment="1">
      <alignment horizontal="left" vertical="center" indent="1"/>
    </xf>
    <xf numFmtId="0" fontId="0" fillId="3" borderId="125" xfId="0" applyFill="1" applyBorder="1" applyAlignment="1">
      <alignment horizontal="left" vertical="center" indent="1"/>
    </xf>
    <xf numFmtId="0" fontId="0" fillId="3" borderId="126" xfId="0" applyFill="1" applyBorder="1" applyAlignment="1">
      <alignment horizontal="left" indent="1"/>
    </xf>
    <xf numFmtId="0" fontId="0" fillId="3" borderId="123" xfId="0" applyFill="1" applyBorder="1" applyAlignment="1">
      <alignment horizontal="left" indent="1"/>
    </xf>
    <xf numFmtId="0" fontId="0" fillId="3" borderId="124" xfId="0" applyFill="1" applyBorder="1" applyAlignment="1">
      <alignment horizontal="left" vertical="top" indent="1"/>
    </xf>
    <xf numFmtId="0" fontId="0" fillId="3" borderId="9" xfId="0" applyFill="1" applyBorder="1" applyAlignment="1">
      <alignment horizontal="left" vertical="center" indent="1"/>
    </xf>
    <xf numFmtId="0" fontId="56" fillId="2" borderId="1" xfId="0" applyFont="1" applyFill="1" applyBorder="1"/>
    <xf numFmtId="0" fontId="86" fillId="2" borderId="8" xfId="0" applyFont="1" applyFill="1" applyBorder="1" applyAlignment="1">
      <alignment horizontal="left" vertical="center" indent="2"/>
    </xf>
    <xf numFmtId="0" fontId="56" fillId="2" borderId="3" xfId="0" applyFont="1" applyFill="1" applyBorder="1"/>
    <xf numFmtId="0" fontId="86" fillId="2" borderId="0" xfId="0" applyFont="1" applyFill="1" applyAlignment="1">
      <alignment horizontal="left" vertical="center" indent="2"/>
    </xf>
    <xf numFmtId="0" fontId="162" fillId="2" borderId="0" xfId="0" applyFont="1" applyFill="1" applyAlignment="1">
      <alignment horizontal="center"/>
    </xf>
    <xf numFmtId="0" fontId="161" fillId="2" borderId="0" xfId="0" applyFont="1" applyFill="1"/>
    <xf numFmtId="0" fontId="158" fillId="2" borderId="0" xfId="0" applyFont="1" applyFill="1"/>
    <xf numFmtId="0" fontId="161" fillId="2" borderId="3" xfId="0" applyFont="1" applyFill="1" applyBorder="1"/>
    <xf numFmtId="0" fontId="161" fillId="2" borderId="0" xfId="0" applyFont="1" applyFill="1" applyAlignment="1">
      <alignment horizontal="center"/>
    </xf>
    <xf numFmtId="0" fontId="163" fillId="2" borderId="0" xfId="0" applyFont="1" applyFill="1"/>
    <xf numFmtId="0" fontId="158" fillId="2" borderId="3" xfId="0" applyFont="1" applyFill="1" applyBorder="1"/>
    <xf numFmtId="168" fontId="159" fillId="2" borderId="0" xfId="0" applyNumberFormat="1" applyFont="1" applyFill="1" applyAlignment="1">
      <alignment horizontal="left"/>
    </xf>
    <xf numFmtId="0" fontId="160" fillId="2" borderId="0" xfId="0" applyFont="1" applyFill="1" applyAlignment="1">
      <alignment horizontal="left" indent="8"/>
    </xf>
    <xf numFmtId="0" fontId="11" fillId="2" borderId="0" xfId="0" applyFont="1" applyFill="1" applyAlignment="1">
      <alignment horizontal="right"/>
    </xf>
    <xf numFmtId="0" fontId="161" fillId="2" borderId="0" xfId="0" applyFont="1" applyFill="1" applyAlignment="1">
      <alignment horizontal="left"/>
    </xf>
    <xf numFmtId="0" fontId="102" fillId="2" borderId="7" xfId="0" applyFont="1" applyFill="1" applyBorder="1" applyAlignment="1">
      <alignment horizontal="right"/>
    </xf>
    <xf numFmtId="0" fontId="102" fillId="2" borderId="6" xfId="0" applyFont="1" applyFill="1" applyBorder="1"/>
    <xf numFmtId="0" fontId="108" fillId="2" borderId="1" xfId="0" applyFont="1" applyFill="1" applyBorder="1" applyAlignment="1">
      <alignment vertical="center"/>
    </xf>
    <xf numFmtId="0" fontId="108" fillId="2" borderId="8" xfId="0" applyFont="1" applyFill="1" applyBorder="1" applyAlignment="1">
      <alignment vertical="center"/>
    </xf>
    <xf numFmtId="0" fontId="32" fillId="2" borderId="8" xfId="0" applyFont="1" applyFill="1" applyBorder="1"/>
    <xf numFmtId="3" fontId="32" fillId="2" borderId="8" xfId="0" applyNumberFormat="1" applyFont="1" applyFill="1" applyBorder="1"/>
    <xf numFmtId="0" fontId="32" fillId="2" borderId="2" xfId="0" applyFont="1" applyFill="1" applyBorder="1"/>
    <xf numFmtId="0" fontId="31" fillId="2" borderId="4" xfId="0" applyFont="1" applyFill="1" applyBorder="1"/>
    <xf numFmtId="0" fontId="108" fillId="2" borderId="0" xfId="0" applyFont="1" applyFill="1" applyAlignment="1">
      <alignment vertical="center"/>
    </xf>
    <xf numFmtId="0" fontId="108" fillId="2" borderId="0" xfId="0" applyFont="1" applyFill="1" applyAlignment="1">
      <alignment horizontal="left" vertical="center" indent="1"/>
    </xf>
    <xf numFmtId="0" fontId="86" fillId="0" borderId="1" xfId="0" applyFont="1" applyBorder="1" applyAlignment="1">
      <alignment vertical="center"/>
    </xf>
    <xf numFmtId="0" fontId="86" fillId="0" borderId="8" xfId="0" applyFont="1" applyBorder="1" applyAlignment="1">
      <alignment vertical="center"/>
    </xf>
    <xf numFmtId="0" fontId="86" fillId="0" borderId="3" xfId="0" applyFont="1" applyBorder="1" applyAlignment="1">
      <alignment vertical="center"/>
    </xf>
    <xf numFmtId="0" fontId="102" fillId="2" borderId="4" xfId="0" applyFont="1" applyFill="1" applyBorder="1"/>
    <xf numFmtId="0" fontId="32" fillId="3" borderId="128" xfId="0" applyFont="1" applyFill="1" applyBorder="1" applyAlignment="1">
      <alignment horizontal="left" vertical="center" indent="1"/>
    </xf>
    <xf numFmtId="0" fontId="32" fillId="3" borderId="125" xfId="0" applyFont="1" applyFill="1" applyBorder="1" applyAlignment="1">
      <alignment horizontal="left" vertical="center" indent="1"/>
    </xf>
    <xf numFmtId="0" fontId="32" fillId="3" borderId="123" xfId="0" applyFont="1" applyFill="1" applyBorder="1" applyAlignment="1">
      <alignment horizontal="left" vertical="center" indent="1"/>
    </xf>
    <xf numFmtId="0" fontId="0" fillId="3" borderId="5" xfId="0" applyFill="1" applyBorder="1" applyAlignment="1">
      <alignment horizontal="left" vertical="top" wrapText="1" indent="1"/>
    </xf>
    <xf numFmtId="0" fontId="0" fillId="3" borderId="7" xfId="0" applyFill="1" applyBorder="1" applyAlignment="1">
      <alignment vertical="top" wrapText="1"/>
    </xf>
    <xf numFmtId="0" fontId="0" fillId="3" borderId="6" xfId="0" applyFill="1" applyBorder="1" applyAlignment="1">
      <alignment vertical="top" wrapText="1"/>
    </xf>
    <xf numFmtId="0" fontId="0" fillId="3" borderId="138" xfId="0" applyFill="1" applyBorder="1" applyAlignment="1">
      <alignment horizontal="left" vertical="center" indent="1"/>
    </xf>
    <xf numFmtId="0" fontId="2" fillId="3" borderId="81" xfId="0" applyFont="1" applyFill="1" applyBorder="1"/>
    <xf numFmtId="0" fontId="2" fillId="3" borderId="139" xfId="0" applyFont="1" applyFill="1" applyBorder="1"/>
    <xf numFmtId="3" fontId="64" fillId="2" borderId="3" xfId="0" applyNumberFormat="1" applyFont="1" applyFill="1" applyBorder="1" applyAlignment="1">
      <alignment horizontal="right" indent="1"/>
    </xf>
    <xf numFmtId="169" fontId="64" fillId="2" borderId="3" xfId="0" applyNumberFormat="1" applyFont="1" applyFill="1" applyBorder="1" applyAlignment="1">
      <alignment horizontal="right" indent="1"/>
    </xf>
    <xf numFmtId="169" fontId="64" fillId="2" borderId="5" xfId="0" applyNumberFormat="1" applyFont="1" applyFill="1" applyBorder="1" applyAlignment="1">
      <alignment horizontal="right" indent="1"/>
    </xf>
    <xf numFmtId="168" fontId="130" fillId="2" borderId="7" xfId="0" applyNumberFormat="1" applyFont="1" applyFill="1" applyBorder="1" applyAlignment="1">
      <alignment horizontal="right" indent="1"/>
    </xf>
    <xf numFmtId="0" fontId="190" fillId="0" borderId="3" xfId="0" applyFont="1" applyBorder="1" applyAlignment="1">
      <alignment horizontal="right"/>
    </xf>
    <xf numFmtId="0" fontId="190" fillId="0" borderId="5" xfId="0" applyFont="1" applyBorder="1" applyAlignment="1">
      <alignment horizontal="right"/>
    </xf>
    <xf numFmtId="0" fontId="32" fillId="3" borderId="9" xfId="0" applyFont="1" applyFill="1" applyBorder="1" applyAlignment="1">
      <alignment horizontal="left" vertical="center" indent="2"/>
    </xf>
    <xf numFmtId="0" fontId="86" fillId="0" borderId="0" xfId="0" applyFont="1" applyAlignment="1">
      <alignment vertical="center"/>
    </xf>
    <xf numFmtId="0" fontId="132" fillId="0" borderId="0" xfId="0" applyFont="1" applyAlignment="1">
      <alignment horizontal="center"/>
    </xf>
    <xf numFmtId="0" fontId="32" fillId="2" borderId="0" xfId="0" applyFont="1" applyFill="1" applyAlignment="1">
      <alignment vertical="center"/>
    </xf>
    <xf numFmtId="0" fontId="165" fillId="2" borderId="0" xfId="0" applyFont="1" applyFill="1"/>
    <xf numFmtId="0" fontId="32" fillId="0" borderId="0" xfId="0" applyFont="1" applyAlignment="1">
      <alignment horizontal="center" vertical="center"/>
    </xf>
    <xf numFmtId="0" fontId="0" fillId="2" borderId="3" xfId="0" applyFill="1" applyBorder="1" applyAlignment="1">
      <alignment horizontal="left" indent="3"/>
    </xf>
    <xf numFmtId="0" fontId="4" fillId="0" borderId="0" xfId="0" applyFont="1"/>
    <xf numFmtId="0" fontId="11" fillId="2" borderId="0" xfId="0" applyFont="1" applyFill="1" applyAlignment="1">
      <alignment horizontal="left" indent="1"/>
    </xf>
    <xf numFmtId="0" fontId="10" fillId="0" borderId="8" xfId="0" applyFont="1" applyBorder="1" applyAlignment="1">
      <alignment horizontal="left" indent="1"/>
    </xf>
    <xf numFmtId="0" fontId="9" fillId="0" borderId="2" xfId="0" applyFont="1" applyBorder="1" applyAlignment="1">
      <alignment horizontal="left" indent="1"/>
    </xf>
    <xf numFmtId="0" fontId="10" fillId="2" borderId="0" xfId="0" applyFont="1" applyFill="1" applyAlignment="1">
      <alignment horizontal="left" indent="1"/>
    </xf>
    <xf numFmtId="0" fontId="9" fillId="2" borderId="4" xfId="0" applyFont="1" applyFill="1" applyBorder="1" applyAlignment="1">
      <alignment horizontal="left" indent="1"/>
    </xf>
    <xf numFmtId="0" fontId="10" fillId="0" borderId="7" xfId="0" applyFont="1" applyBorder="1" applyAlignment="1">
      <alignment horizontal="left" indent="1"/>
    </xf>
    <xf numFmtId="0" fontId="9" fillId="0" borderId="6" xfId="0" applyFont="1" applyBorder="1" applyAlignment="1">
      <alignment horizontal="left" indent="1"/>
    </xf>
    <xf numFmtId="0" fontId="191" fillId="0" borderId="1" xfId="0" applyFont="1" applyBorder="1" applyAlignment="1">
      <alignment horizontal="left" indent="2"/>
    </xf>
    <xf numFmtId="0" fontId="191" fillId="2" borderId="3" xfId="0" applyFont="1" applyFill="1" applyBorder="1" applyAlignment="1">
      <alignment horizontal="left" vertical="center" indent="2"/>
    </xf>
    <xf numFmtId="0" fontId="191" fillId="0" borderId="5" xfId="0" applyFont="1" applyBorder="1" applyAlignment="1">
      <alignment horizontal="left" vertical="top" indent="2"/>
    </xf>
    <xf numFmtId="0" fontId="190" fillId="0" borderId="3" xfId="0" applyFont="1" applyBorder="1" applyAlignment="1">
      <alignment horizontal="right" vertical="center"/>
    </xf>
    <xf numFmtId="0" fontId="108" fillId="2" borderId="3" xfId="0" applyFont="1" applyFill="1" applyBorder="1" applyAlignment="1">
      <alignment horizontal="right" vertical="center"/>
    </xf>
    <xf numFmtId="0" fontId="0" fillId="2" borderId="3" xfId="0" applyFill="1" applyBorder="1" applyAlignment="1">
      <alignment horizontal="left" vertical="top" indent="3"/>
    </xf>
    <xf numFmtId="0" fontId="0" fillId="0" borderId="4" xfId="0" applyBorder="1" applyAlignment="1">
      <alignment horizontal="right"/>
    </xf>
    <xf numFmtId="0" fontId="101" fillId="2" borderId="0" xfId="0" applyFont="1" applyFill="1" applyAlignment="1">
      <alignment horizontal="left" vertical="center" indent="2"/>
    </xf>
    <xf numFmtId="0" fontId="6" fillId="2" borderId="4" xfId="0" applyFont="1" applyFill="1" applyBorder="1" applyAlignment="1">
      <alignment horizontal="right"/>
    </xf>
    <xf numFmtId="1" fontId="6" fillId="2" borderId="0" xfId="0" applyNumberFormat="1" applyFont="1" applyFill="1"/>
    <xf numFmtId="1" fontId="64" fillId="2" borderId="0" xfId="0" applyNumberFormat="1" applyFont="1" applyFill="1" applyAlignment="1">
      <alignment horizontal="right"/>
    </xf>
    <xf numFmtId="0" fontId="64" fillId="2" borderId="4" xfId="0" applyFont="1" applyFill="1" applyBorder="1" applyAlignment="1">
      <alignment horizontal="left" indent="1"/>
    </xf>
    <xf numFmtId="2" fontId="6" fillId="2" borderId="0" xfId="0" applyNumberFormat="1" applyFont="1" applyFill="1" applyAlignment="1">
      <alignment horizontal="right"/>
    </xf>
    <xf numFmtId="0" fontId="8" fillId="2" borderId="6" xfId="0" applyFont="1" applyFill="1" applyBorder="1" applyAlignment="1">
      <alignment horizontal="right"/>
    </xf>
    <xf numFmtId="1" fontId="101" fillId="2" borderId="3" xfId="0" applyNumberFormat="1" applyFont="1" applyFill="1" applyBorder="1" applyAlignment="1">
      <alignment horizontal="left" vertical="center" indent="2"/>
    </xf>
    <xf numFmtId="165" fontId="6" fillId="2" borderId="0" xfId="0" applyNumberFormat="1" applyFont="1" applyFill="1" applyAlignment="1">
      <alignment horizontal="right"/>
    </xf>
    <xf numFmtId="0" fontId="69" fillId="2" borderId="0" xfId="0" applyFont="1" applyFill="1" applyAlignment="1">
      <alignment horizontal="left" indent="2"/>
    </xf>
    <xf numFmtId="0" fontId="64" fillId="2" borderId="6" xfId="0" applyFont="1" applyFill="1" applyBorder="1" applyAlignment="1">
      <alignment horizontal="left" indent="1"/>
    </xf>
    <xf numFmtId="0" fontId="158" fillId="2" borderId="7" xfId="0" applyFont="1" applyFill="1" applyBorder="1" applyAlignment="1">
      <alignment horizontal="left"/>
    </xf>
    <xf numFmtId="0" fontId="161" fillId="2" borderId="7" xfId="0" applyFont="1" applyFill="1" applyBorder="1"/>
    <xf numFmtId="0" fontId="0" fillId="2" borderId="6" xfId="0" applyFill="1" applyBorder="1" applyAlignment="1">
      <alignment horizontal="right"/>
    </xf>
    <xf numFmtId="2" fontId="32" fillId="2" borderId="5" xfId="0" applyNumberFormat="1" applyFont="1" applyFill="1" applyBorder="1"/>
    <xf numFmtId="3" fontId="64" fillId="2" borderId="0" xfId="0" applyNumberFormat="1" applyFont="1" applyFill="1" applyAlignment="1">
      <alignment horizontal="right"/>
    </xf>
    <xf numFmtId="3" fontId="64" fillId="2" borderId="3" xfId="0" applyNumberFormat="1" applyFont="1" applyFill="1" applyBorder="1" applyAlignment="1">
      <alignment horizontal="right"/>
    </xf>
    <xf numFmtId="3" fontId="64" fillId="2" borderId="5" xfId="0" applyNumberFormat="1" applyFont="1" applyFill="1" applyBorder="1" applyAlignment="1">
      <alignment horizontal="right"/>
    </xf>
    <xf numFmtId="0" fontId="7" fillId="2" borderId="7" xfId="0" applyFont="1" applyFill="1" applyBorder="1"/>
    <xf numFmtId="0" fontId="158" fillId="2" borderId="5" xfId="0" applyFont="1" applyFill="1" applyBorder="1"/>
    <xf numFmtId="0" fontId="101" fillId="2" borderId="0" xfId="0" applyFont="1" applyFill="1" applyAlignment="1">
      <alignment horizontal="left" vertical="center"/>
    </xf>
    <xf numFmtId="9" fontId="42" fillId="2" borderId="0" xfId="0" applyNumberFormat="1" applyFont="1" applyFill="1"/>
    <xf numFmtId="1" fontId="101" fillId="2" borderId="0" xfId="0" applyNumberFormat="1" applyFont="1" applyFill="1" applyAlignment="1">
      <alignment horizontal="left" vertical="center"/>
    </xf>
    <xf numFmtId="10" fontId="64" fillId="2" borderId="4" xfId="0" applyNumberFormat="1" applyFont="1" applyFill="1" applyBorder="1" applyAlignment="1">
      <alignment horizontal="right"/>
    </xf>
    <xf numFmtId="0" fontId="64" fillId="2" borderId="0" xfId="0" applyFont="1" applyFill="1" applyAlignment="1">
      <alignment horizontal="left" vertical="center" indent="1"/>
    </xf>
    <xf numFmtId="3" fontId="64" fillId="2" borderId="0" xfId="0" applyNumberFormat="1" applyFont="1" applyFill="1" applyAlignment="1">
      <alignment horizontal="right" vertical="center"/>
    </xf>
    <xf numFmtId="0" fontId="64" fillId="2" borderId="4" xfId="0" applyFont="1" applyFill="1" applyBorder="1" applyAlignment="1">
      <alignment horizontal="left" vertical="center" indent="1"/>
    </xf>
    <xf numFmtId="4" fontId="64" fillId="2" borderId="0" xfId="0" applyNumberFormat="1" applyFont="1" applyFill="1" applyAlignment="1">
      <alignment horizontal="right"/>
    </xf>
    <xf numFmtId="170" fontId="32" fillId="2" borderId="0" xfId="0" applyNumberFormat="1" applyFont="1" applyFill="1"/>
    <xf numFmtId="176" fontId="32" fillId="2" borderId="0" xfId="0" applyNumberFormat="1" applyFont="1" applyFill="1"/>
    <xf numFmtId="3" fontId="32" fillId="2" borderId="0" xfId="0" applyNumberFormat="1" applyFont="1" applyFill="1" applyAlignment="1">
      <alignment vertical="center"/>
    </xf>
    <xf numFmtId="0" fontId="32" fillId="2" borderId="4" xfId="0" applyFont="1" applyFill="1" applyBorder="1" applyAlignment="1">
      <alignment horizontal="left" vertical="center" indent="1"/>
    </xf>
    <xf numFmtId="3" fontId="32" fillId="2" borderId="7" xfId="0" applyNumberFormat="1" applyFont="1" applyFill="1" applyBorder="1" applyAlignment="1">
      <alignment vertical="center"/>
    </xf>
    <xf numFmtId="0" fontId="32" fillId="2" borderId="6" xfId="0" applyFont="1" applyFill="1" applyBorder="1" applyAlignment="1">
      <alignment horizontal="left" vertical="center" indent="1"/>
    </xf>
    <xf numFmtId="0" fontId="148" fillId="2" borderId="48" xfId="0" applyFont="1" applyFill="1" applyBorder="1" applyAlignment="1">
      <alignment horizontal="left" vertical="top" indent="1"/>
    </xf>
    <xf numFmtId="0" fontId="145" fillId="2" borderId="48" xfId="0" applyFont="1" applyFill="1" applyBorder="1" applyAlignment="1">
      <alignment horizontal="left" vertical="center" indent="1"/>
    </xf>
    <xf numFmtId="0" fontId="0" fillId="0" borderId="0" xfId="0" applyAlignment="1">
      <alignment horizontal="left" indent="1"/>
    </xf>
    <xf numFmtId="0" fontId="32" fillId="2" borderId="5" xfId="0" applyFont="1" applyFill="1" applyBorder="1"/>
    <xf numFmtId="0" fontId="158" fillId="2" borderId="7" xfId="0" applyFont="1" applyFill="1" applyBorder="1" applyAlignment="1">
      <alignment vertical="center"/>
    </xf>
    <xf numFmtId="0" fontId="0" fillId="2" borderId="3" xfId="0" applyFill="1" applyBorder="1" applyAlignment="1">
      <alignment horizontal="right" indent="1"/>
    </xf>
    <xf numFmtId="3" fontId="32" fillId="2" borderId="0" xfId="0" applyNumberFormat="1" applyFont="1" applyFill="1" applyAlignment="1">
      <alignment horizontal="right"/>
    </xf>
    <xf numFmtId="1" fontId="32" fillId="2" borderId="0" xfId="0" applyNumberFormat="1" applyFont="1" applyFill="1" applyAlignment="1">
      <alignment horizontal="right"/>
    </xf>
    <xf numFmtId="0" fontId="32" fillId="0" borderId="5" xfId="0" applyFont="1" applyBorder="1"/>
    <xf numFmtId="2" fontId="32" fillId="2" borderId="0" xfId="0" applyNumberFormat="1" applyFont="1" applyFill="1" applyAlignment="1">
      <alignment horizontal="right"/>
    </xf>
    <xf numFmtId="0" fontId="0" fillId="0" borderId="3" xfId="0" applyBorder="1" applyAlignment="1">
      <alignment horizontal="left" indent="3"/>
    </xf>
    <xf numFmtId="0" fontId="0" fillId="0" borderId="3" xfId="0" applyBorder="1" applyAlignment="1">
      <alignment horizontal="right"/>
    </xf>
    <xf numFmtId="0" fontId="108" fillId="0" borderId="0" xfId="0" applyFont="1" applyAlignment="1">
      <alignment horizontal="center"/>
    </xf>
    <xf numFmtId="0" fontId="11" fillId="0" borderId="0" xfId="0" applyFont="1" applyAlignment="1">
      <alignment horizontal="left" vertical="center" indent="4"/>
    </xf>
    <xf numFmtId="0" fontId="11" fillId="0" borderId="0" xfId="0" applyFont="1" applyAlignment="1">
      <alignment horizontal="centerContinuous" vertical="center"/>
    </xf>
    <xf numFmtId="0" fontId="2" fillId="2" borderId="7" xfId="0" applyFont="1" applyFill="1" applyBorder="1" applyAlignment="1">
      <alignment horizontal="center" vertical="center"/>
    </xf>
    <xf numFmtId="0" fontId="4" fillId="2" borderId="7" xfId="0" applyFont="1" applyFill="1" applyBorder="1" applyAlignment="1">
      <alignment horizontal="left" indent="1"/>
    </xf>
    <xf numFmtId="0" fontId="127" fillId="2" borderId="7" xfId="0" applyFont="1" applyFill="1" applyBorder="1" applyAlignment="1">
      <alignment horizontal="right" indent="1"/>
    </xf>
    <xf numFmtId="1" fontId="32" fillId="2" borderId="5" xfId="0" applyNumberFormat="1" applyFont="1" applyFill="1" applyBorder="1"/>
    <xf numFmtId="0" fontId="86" fillId="2" borderId="1" xfId="0" applyFont="1" applyFill="1" applyBorder="1"/>
    <xf numFmtId="0" fontId="86" fillId="2" borderId="8" xfId="0" applyFont="1" applyFill="1" applyBorder="1"/>
    <xf numFmtId="0" fontId="86" fillId="2" borderId="3" xfId="0" applyFont="1" applyFill="1" applyBorder="1"/>
    <xf numFmtId="0" fontId="109" fillId="2" borderId="0" xfId="0" applyFont="1" applyFill="1" applyAlignment="1">
      <alignment horizontal="left"/>
    </xf>
    <xf numFmtId="0" fontId="86" fillId="2" borderId="0" xfId="0" applyFont="1" applyFill="1"/>
    <xf numFmtId="0" fontId="12" fillId="2" borderId="0" xfId="0" applyFont="1" applyFill="1" applyAlignment="1">
      <alignment horizontal="left" vertical="top" indent="1"/>
    </xf>
    <xf numFmtId="49" fontId="0" fillId="2" borderId="0" xfId="0" applyNumberFormat="1" applyFill="1"/>
    <xf numFmtId="49" fontId="0" fillId="0" borderId="0" xfId="0" applyNumberFormat="1"/>
    <xf numFmtId="3" fontId="101" fillId="2" borderId="0" xfId="0" applyNumberFormat="1" applyFont="1" applyFill="1" applyAlignment="1">
      <alignment horizontal="left" vertical="center"/>
    </xf>
    <xf numFmtId="1" fontId="6" fillId="2" borderId="0" xfId="0" applyNumberFormat="1" applyFont="1" applyFill="1" applyAlignment="1">
      <alignment horizontal="right" vertical="center"/>
    </xf>
    <xf numFmtId="2" fontId="6" fillId="2" borderId="0" xfId="0" applyNumberFormat="1" applyFont="1" applyFill="1" applyAlignment="1">
      <alignment horizontal="right" vertical="center"/>
    </xf>
    <xf numFmtId="2" fontId="64" fillId="2" borderId="0" xfId="0" applyNumberFormat="1" applyFont="1" applyFill="1" applyAlignment="1">
      <alignment horizontal="right"/>
    </xf>
    <xf numFmtId="1" fontId="6" fillId="2" borderId="0" xfId="0" applyNumberFormat="1" applyFont="1" applyFill="1" applyAlignment="1">
      <alignment horizontal="right"/>
    </xf>
    <xf numFmtId="165" fontId="64" fillId="2" borderId="0" xfId="0" applyNumberFormat="1" applyFont="1" applyFill="1" applyAlignment="1">
      <alignment horizontal="right"/>
    </xf>
    <xf numFmtId="0" fontId="11" fillId="2" borderId="0" xfId="0" applyFont="1" applyFill="1" applyAlignment="1">
      <alignment horizontal="left" vertical="center"/>
    </xf>
    <xf numFmtId="0" fontId="190" fillId="3" borderId="5" xfId="0" applyFont="1" applyFill="1" applyBorder="1" applyAlignment="1">
      <alignment horizontal="right"/>
    </xf>
    <xf numFmtId="0" fontId="32" fillId="3" borderId="5" xfId="0" applyFont="1" applyFill="1" applyBorder="1"/>
    <xf numFmtId="1" fontId="6" fillId="2" borderId="7" xfId="0" applyNumberFormat="1" applyFont="1" applyFill="1" applyBorder="1"/>
    <xf numFmtId="0" fontId="6" fillId="2" borderId="3" xfId="0" applyFont="1" applyFill="1" applyBorder="1"/>
    <xf numFmtId="0" fontId="158" fillId="3" borderId="7" xfId="0" applyFont="1" applyFill="1" applyBorder="1" applyAlignment="1">
      <alignment horizontal="center"/>
    </xf>
    <xf numFmtId="0" fontId="158" fillId="3" borderId="7" xfId="0" applyFont="1" applyFill="1" applyBorder="1"/>
    <xf numFmtId="0" fontId="158" fillId="3" borderId="7" xfId="0" applyFont="1" applyFill="1" applyBorder="1" applyAlignment="1">
      <alignment horizontal="left"/>
    </xf>
    <xf numFmtId="0" fontId="158" fillId="3" borderId="7" xfId="0" applyFont="1" applyFill="1" applyBorder="1" applyAlignment="1">
      <alignment horizontal="left" vertical="center" indent="1"/>
    </xf>
    <xf numFmtId="0" fontId="158" fillId="2" borderId="7" xfId="0" applyFont="1" applyFill="1" applyBorder="1" applyAlignment="1">
      <alignment horizontal="center" vertical="center"/>
    </xf>
    <xf numFmtId="0" fontId="190" fillId="2" borderId="5" xfId="0" applyFont="1" applyFill="1" applyBorder="1" applyAlignment="1">
      <alignment horizontal="right"/>
    </xf>
    <xf numFmtId="0" fontId="56" fillId="2" borderId="1" xfId="0" applyFont="1" applyFill="1" applyBorder="1" applyAlignment="1">
      <alignment vertical="center"/>
    </xf>
    <xf numFmtId="0" fontId="56" fillId="2" borderId="3" xfId="0" applyFont="1" applyFill="1" applyBorder="1" applyAlignment="1">
      <alignment vertical="center"/>
    </xf>
    <xf numFmtId="0" fontId="2" fillId="2" borderId="0" xfId="0" applyFont="1" applyFill="1" applyAlignment="1">
      <alignment horizontal="right"/>
    </xf>
    <xf numFmtId="0" fontId="2" fillId="0" borderId="0" xfId="0" applyFont="1" applyAlignment="1">
      <alignment horizontal="right"/>
    </xf>
    <xf numFmtId="0" fontId="0" fillId="0" borderId="0" xfId="0" applyAlignment="1">
      <alignment vertical="top"/>
    </xf>
    <xf numFmtId="0" fontId="25" fillId="0" borderId="0" xfId="0" applyFont="1"/>
    <xf numFmtId="0" fontId="152" fillId="2" borderId="0" xfId="0" applyFont="1" applyFill="1"/>
    <xf numFmtId="0" fontId="2" fillId="2" borderId="0" xfId="0" applyFont="1" applyFill="1" applyAlignment="1">
      <alignment horizontal="center" vertical="center"/>
    </xf>
    <xf numFmtId="0" fontId="4" fillId="2" borderId="0" xfId="0" applyFont="1" applyFill="1" applyAlignment="1">
      <alignment horizontal="left" indent="1"/>
    </xf>
    <xf numFmtId="0" fontId="127" fillId="2" borderId="0" xfId="0" applyFont="1" applyFill="1" applyAlignment="1">
      <alignment horizontal="right" indent="1"/>
    </xf>
    <xf numFmtId="0" fontId="102" fillId="2" borderId="4" xfId="0" applyFont="1" applyFill="1" applyBorder="1" applyAlignment="1">
      <alignment horizontal="right" indent="1"/>
    </xf>
    <xf numFmtId="0" fontId="85" fillId="2" borderId="7" xfId="0" applyFont="1" applyFill="1" applyBorder="1" applyAlignment="1">
      <alignment horizontal="center" vertical="center"/>
    </xf>
    <xf numFmtId="0" fontId="6" fillId="2" borderId="4" xfId="0" applyFont="1" applyFill="1" applyBorder="1"/>
    <xf numFmtId="2" fontId="64" fillId="2" borderId="3" xfId="0" applyNumberFormat="1" applyFont="1" applyFill="1" applyBorder="1" applyAlignment="1">
      <alignment horizontal="right" indent="1"/>
    </xf>
    <xf numFmtId="1" fontId="64" fillId="2" borderId="5" xfId="0" applyNumberFormat="1" applyFont="1" applyFill="1" applyBorder="1" applyAlignment="1">
      <alignment horizontal="right" indent="1"/>
    </xf>
    <xf numFmtId="0" fontId="6" fillId="2" borderId="6" xfId="0" applyFont="1" applyFill="1" applyBorder="1"/>
    <xf numFmtId="3" fontId="32" fillId="0" borderId="9" xfId="0" applyNumberFormat="1" applyFont="1" applyBorder="1" applyAlignment="1">
      <alignment horizontal="right" indent="1"/>
    </xf>
    <xf numFmtId="0" fontId="0" fillId="2" borderId="3" xfId="0" quotePrefix="1" applyFill="1" applyBorder="1" applyAlignment="1">
      <alignment horizontal="right" indent="1"/>
    </xf>
    <xf numFmtId="0" fontId="0" fillId="2" borderId="3" xfId="0" applyFill="1" applyBorder="1" applyAlignment="1">
      <alignment horizontal="right" vertical="center" indent="1"/>
    </xf>
    <xf numFmtId="0" fontId="12" fillId="2" borderId="3" xfId="0" applyFont="1" applyFill="1" applyBorder="1" applyAlignment="1">
      <alignment horizontal="right" vertical="top" indent="1"/>
    </xf>
    <xf numFmtId="1" fontId="101" fillId="2" borderId="0" xfId="0" applyNumberFormat="1" applyFont="1" applyFill="1" applyAlignment="1">
      <alignment horizontal="left" vertical="center" indent="4"/>
    </xf>
    <xf numFmtId="0" fontId="4" fillId="0" borderId="0" xfId="0" applyFont="1" applyAlignment="1">
      <alignment vertical="top"/>
    </xf>
    <xf numFmtId="1" fontId="64" fillId="2" borderId="0" xfId="0" applyNumberFormat="1" applyFont="1" applyFill="1"/>
    <xf numFmtId="1" fontId="64" fillId="2" borderId="0" xfId="0" applyNumberFormat="1" applyFont="1" applyFill="1" applyAlignment="1">
      <alignment horizontal="right" vertical="top"/>
    </xf>
    <xf numFmtId="0" fontId="0" fillId="0" borderId="0" xfId="0" applyAlignment="1">
      <alignment horizontal="left" vertical="center" indent="1"/>
    </xf>
    <xf numFmtId="0" fontId="86" fillId="2" borderId="5" xfId="0" applyFont="1" applyFill="1" applyBorder="1" applyAlignment="1">
      <alignment vertical="center"/>
    </xf>
    <xf numFmtId="0" fontId="64" fillId="2" borderId="4" xfId="0" applyFont="1" applyFill="1" applyBorder="1" applyAlignment="1">
      <alignment horizontal="right"/>
    </xf>
    <xf numFmtId="0" fontId="32" fillId="0" borderId="4" xfId="0" applyFont="1" applyBorder="1" applyAlignment="1">
      <alignment horizontal="right"/>
    </xf>
    <xf numFmtId="165" fontId="174" fillId="2" borderId="4" xfId="0" applyNumberFormat="1" applyFont="1" applyFill="1" applyBorder="1" applyAlignment="1">
      <alignment horizontal="left"/>
    </xf>
    <xf numFmtId="0" fontId="68" fillId="2" borderId="6" xfId="0" applyFont="1" applyFill="1" applyBorder="1" applyAlignment="1">
      <alignment horizontal="right"/>
    </xf>
    <xf numFmtId="1" fontId="64" fillId="2" borderId="3" xfId="0" applyNumberFormat="1" applyFont="1" applyFill="1" applyBorder="1" applyAlignment="1">
      <alignment horizontal="right" indent="1"/>
    </xf>
    <xf numFmtId="3" fontId="64" fillId="2" borderId="5" xfId="0" applyNumberFormat="1" applyFont="1" applyFill="1" applyBorder="1" applyAlignment="1">
      <alignment horizontal="right" indent="1"/>
    </xf>
    <xf numFmtId="3" fontId="32" fillId="0" borderId="3" xfId="0" applyNumberFormat="1" applyFont="1" applyBorder="1" applyAlignment="1">
      <alignment horizontal="right" indent="1"/>
    </xf>
    <xf numFmtId="0" fontId="4" fillId="2" borderId="0" xfId="0" applyFont="1" applyFill="1" applyAlignment="1">
      <alignment horizontal="left" vertical="center" indent="1"/>
    </xf>
    <xf numFmtId="0" fontId="25" fillId="2" borderId="0" xfId="0" applyFont="1" applyFill="1"/>
    <xf numFmtId="169" fontId="12" fillId="2" borderId="0" xfId="0" applyNumberFormat="1" applyFont="1" applyFill="1" applyAlignment="1">
      <alignment horizontal="center" vertical="center"/>
    </xf>
    <xf numFmtId="186" fontId="0" fillId="0" borderId="0" xfId="0" applyNumberFormat="1" applyAlignment="1">
      <alignment horizontal="center" vertical="center"/>
    </xf>
    <xf numFmtId="1" fontId="12" fillId="2" borderId="0" xfId="0" applyNumberFormat="1" applyFont="1" applyFill="1" applyAlignment="1">
      <alignment horizontal="center" vertical="center"/>
    </xf>
    <xf numFmtId="184" fontId="12" fillId="2" borderId="0" xfId="0" applyNumberFormat="1" applyFont="1" applyFill="1" applyAlignment="1">
      <alignment horizontal="center" vertical="center"/>
    </xf>
    <xf numFmtId="0" fontId="155" fillId="2" borderId="0" xfId="0" applyFont="1" applyFill="1" applyAlignment="1">
      <alignment horizontal="left"/>
    </xf>
    <xf numFmtId="0" fontId="0" fillId="2" borderId="4" xfId="0" applyFill="1" applyBorder="1" applyAlignment="1">
      <alignment horizontal="right"/>
    </xf>
    <xf numFmtId="0" fontId="168" fillId="2" borderId="0" xfId="0" applyFont="1" applyFill="1"/>
    <xf numFmtId="0" fontId="101" fillId="2" borderId="0" xfId="0" applyFont="1" applyFill="1" applyAlignment="1">
      <alignment horizontal="left" vertical="center" indent="1"/>
    </xf>
    <xf numFmtId="0" fontId="101" fillId="2" borderId="4" xfId="0" applyFont="1" applyFill="1" applyBorder="1" applyAlignment="1">
      <alignment vertical="center"/>
    </xf>
    <xf numFmtId="0" fontId="6" fillId="2" borderId="4" xfId="0" applyFont="1" applyFill="1" applyBorder="1" applyAlignment="1">
      <alignment horizontal="left" indent="1"/>
    </xf>
    <xf numFmtId="1" fontId="42" fillId="2" borderId="7" xfId="0" applyNumberFormat="1" applyFont="1" applyFill="1" applyBorder="1" applyAlignment="1">
      <alignment horizontal="right"/>
    </xf>
    <xf numFmtId="0" fontId="42" fillId="2" borderId="6" xfId="0" applyFont="1" applyFill="1" applyBorder="1" applyAlignment="1">
      <alignment horizontal="left" indent="1"/>
    </xf>
    <xf numFmtId="0" fontId="2" fillId="2" borderId="0" xfId="0" applyFont="1" applyFill="1" applyAlignment="1">
      <alignment horizontal="left" vertical="center" indent="1"/>
    </xf>
    <xf numFmtId="0" fontId="70" fillId="2" borderId="4" xfId="0" applyFont="1" applyFill="1" applyBorder="1"/>
    <xf numFmtId="1" fontId="64" fillId="2" borderId="4" xfId="0" applyNumberFormat="1" applyFont="1" applyFill="1" applyBorder="1"/>
    <xf numFmtId="0" fontId="64" fillId="2" borderId="5" xfId="0" applyFont="1" applyFill="1" applyBorder="1"/>
    <xf numFmtId="0" fontId="64" fillId="2" borderId="6" xfId="0" applyFont="1" applyFill="1" applyBorder="1"/>
    <xf numFmtId="0" fontId="68" fillId="2" borderId="7" xfId="0" applyFont="1" applyFill="1" applyBorder="1" applyAlignment="1">
      <alignment horizontal="left" vertical="center" indent="2"/>
    </xf>
    <xf numFmtId="0" fontId="64" fillId="2" borderId="7" xfId="0" applyFont="1" applyFill="1" applyBorder="1" applyAlignment="1">
      <alignment horizontal="left" vertical="center"/>
    </xf>
    <xf numFmtId="0" fontId="40" fillId="6" borderId="0" xfId="0" applyFont="1" applyFill="1" applyAlignment="1">
      <alignment horizontal="left" vertical="top" indent="2"/>
    </xf>
    <xf numFmtId="3" fontId="64" fillId="2" borderId="7" xfId="0" applyNumberFormat="1" applyFont="1" applyFill="1" applyBorder="1"/>
    <xf numFmtId="3" fontId="64" fillId="2" borderId="0" xfId="0" applyNumberFormat="1" applyFont="1" applyFill="1"/>
    <xf numFmtId="0" fontId="64" fillId="2" borderId="4" xfId="0" applyFont="1" applyFill="1" applyBorder="1"/>
    <xf numFmtId="3" fontId="42" fillId="2" borderId="7" xfId="0" applyNumberFormat="1" applyFont="1" applyFill="1" applyBorder="1"/>
    <xf numFmtId="0" fontId="42" fillId="2" borderId="7" xfId="0" applyFont="1" applyFill="1" applyBorder="1" applyAlignment="1">
      <alignment horizontal="left" indent="1"/>
    </xf>
    <xf numFmtId="0" fontId="0" fillId="11" borderId="19" xfId="0" applyFill="1" applyBorder="1"/>
    <xf numFmtId="166" fontId="31" fillId="11" borderId="0" xfId="0" applyNumberFormat="1" applyFont="1" applyFill="1"/>
    <xf numFmtId="0" fontId="160" fillId="2" borderId="7" xfId="0" applyFont="1" applyFill="1" applyBorder="1" applyAlignment="1">
      <alignment horizontal="left" indent="7"/>
    </xf>
    <xf numFmtId="2" fontId="32" fillId="11" borderId="0" xfId="0" applyNumberFormat="1" applyFont="1" applyFill="1"/>
    <xf numFmtId="167" fontId="31" fillId="11" borderId="0" xfId="0" applyNumberFormat="1" applyFont="1" applyFill="1"/>
    <xf numFmtId="187" fontId="38" fillId="11" borderId="0" xfId="0" applyNumberFormat="1" applyFont="1" applyFill="1" applyAlignment="1">
      <alignment horizontal="center" vertical="center"/>
    </xf>
    <xf numFmtId="0" fontId="31" fillId="11" borderId="18" xfId="0" applyFont="1" applyFill="1" applyBorder="1" applyAlignment="1">
      <alignment vertical="center"/>
    </xf>
    <xf numFmtId="0" fontId="32" fillId="11" borderId="18" xfId="0" applyFont="1" applyFill="1" applyBorder="1"/>
    <xf numFmtId="0" fontId="65" fillId="11" borderId="0" xfId="0" applyFont="1" applyFill="1" applyAlignment="1">
      <alignment horizontal="center" vertical="center"/>
    </xf>
    <xf numFmtId="188" fontId="51" fillId="11" borderId="0" xfId="0" applyNumberFormat="1" applyFont="1" applyFill="1" applyAlignment="1">
      <alignment vertical="center"/>
    </xf>
    <xf numFmtId="188" fontId="42" fillId="2" borderId="0" xfId="0" applyNumberFormat="1" applyFont="1" applyFill="1" applyAlignment="1">
      <alignment vertical="center"/>
    </xf>
    <xf numFmtId="0" fontId="42" fillId="3" borderId="0" xfId="0" applyFont="1" applyFill="1" applyAlignment="1">
      <alignment horizontal="left" vertical="center" indent="1"/>
    </xf>
    <xf numFmtId="0" fontId="40" fillId="11" borderId="34" xfId="0" applyFont="1" applyFill="1" applyBorder="1" applyAlignment="1">
      <alignment horizontal="center" vertical="center"/>
    </xf>
    <xf numFmtId="0" fontId="27" fillId="11" borderId="34" xfId="0" applyFont="1" applyFill="1" applyBorder="1" applyAlignment="1">
      <alignment horizontal="center" vertical="center"/>
    </xf>
    <xf numFmtId="168" fontId="51" fillId="11" borderId="0" xfId="0" applyNumberFormat="1" applyFont="1" applyFill="1" applyAlignment="1">
      <alignment vertical="center"/>
    </xf>
    <xf numFmtId="168" fontId="38" fillId="11" borderId="0" xfId="0" applyNumberFormat="1" applyFont="1" applyFill="1" applyAlignment="1">
      <alignment vertical="center"/>
    </xf>
    <xf numFmtId="0" fontId="158" fillId="2" borderId="7" xfId="0" applyFont="1" applyFill="1" applyBorder="1" applyAlignment="1">
      <alignment horizontal="center"/>
    </xf>
    <xf numFmtId="168" fontId="158" fillId="2" borderId="7" xfId="0" applyNumberFormat="1" applyFont="1" applyFill="1" applyBorder="1" applyAlignment="1">
      <alignment horizontal="left" indent="1"/>
    </xf>
    <xf numFmtId="0" fontId="32" fillId="11" borderId="0" xfId="0" applyFont="1" applyFill="1" applyAlignment="1">
      <alignment horizontal="left" vertical="center"/>
    </xf>
    <xf numFmtId="1" fontId="97" fillId="11" borderId="0" xfId="0" applyNumberFormat="1" applyFont="1" applyFill="1" applyAlignment="1">
      <alignment vertical="center"/>
    </xf>
    <xf numFmtId="187" fontId="42" fillId="0" borderId="18" xfId="0" applyNumberFormat="1" applyFont="1" applyBorder="1" applyAlignment="1" applyProtection="1">
      <alignment horizontal="center" vertical="center"/>
      <protection locked="0"/>
    </xf>
    <xf numFmtId="187" fontId="38" fillId="11" borderId="0" xfId="0" applyNumberFormat="1" applyFont="1" applyFill="1" applyAlignment="1" applyProtection="1">
      <alignment horizontal="center" vertical="center"/>
      <protection locked="0"/>
    </xf>
    <xf numFmtId="0" fontId="35" fillId="2" borderId="0" xfId="0" applyFont="1" applyFill="1" applyAlignment="1">
      <alignment horizontal="center" vertical="center"/>
    </xf>
    <xf numFmtId="9" fontId="38" fillId="2" borderId="0" xfId="0" applyNumberFormat="1" applyFont="1" applyFill="1" applyAlignment="1">
      <alignment horizontal="left" indent="1"/>
    </xf>
    <xf numFmtId="0" fontId="65" fillId="2" borderId="0" xfId="0" applyFont="1" applyFill="1" applyAlignment="1">
      <alignment horizontal="left" vertical="center" indent="1"/>
    </xf>
    <xf numFmtId="0" fontId="65" fillId="2" borderId="0" xfId="0" applyFont="1" applyFill="1" applyAlignment="1">
      <alignment horizontal="center" vertical="center"/>
    </xf>
    <xf numFmtId="166" fontId="31" fillId="2" borderId="0" xfId="0" applyNumberFormat="1" applyFont="1" applyFill="1"/>
    <xf numFmtId="0" fontId="0" fillId="2" borderId="19" xfId="0" applyFill="1" applyBorder="1"/>
    <xf numFmtId="187" fontId="51" fillId="11" borderId="19" xfId="0" applyNumberFormat="1" applyFont="1" applyFill="1" applyBorder="1" applyAlignment="1">
      <alignment horizontal="center" vertical="center"/>
    </xf>
    <xf numFmtId="10" fontId="51" fillId="11" borderId="19" xfId="0" applyNumberFormat="1" applyFont="1" applyFill="1" applyBorder="1" applyAlignment="1" applyProtection="1">
      <alignment horizontal="left" vertical="center"/>
      <protection locked="0"/>
    </xf>
    <xf numFmtId="0" fontId="72" fillId="11" borderId="19" xfId="0" applyFont="1" applyFill="1" applyBorder="1" applyAlignment="1">
      <alignment horizontal="left" indent="1"/>
    </xf>
    <xf numFmtId="0" fontId="72" fillId="11" borderId="19" xfId="0" applyFont="1" applyFill="1" applyBorder="1" applyAlignment="1">
      <alignment horizontal="left" vertical="center" indent="1"/>
    </xf>
    <xf numFmtId="187" fontId="42" fillId="0" borderId="0" xfId="0" applyNumberFormat="1" applyFont="1" applyAlignment="1" applyProtection="1">
      <alignment horizontal="center" vertical="center"/>
      <protection locked="0"/>
    </xf>
    <xf numFmtId="187" fontId="42" fillId="0" borderId="27" xfId="0" applyNumberFormat="1" applyFont="1" applyBorder="1" applyAlignment="1" applyProtection="1">
      <alignment horizontal="center" vertical="center"/>
      <protection locked="0"/>
    </xf>
    <xf numFmtId="0" fontId="40" fillId="11" borderId="0" xfId="0" applyFont="1" applyFill="1" applyAlignment="1">
      <alignment vertical="center"/>
    </xf>
    <xf numFmtId="1" fontId="28" fillId="11" borderId="0" xfId="0" applyNumberFormat="1" applyFont="1" applyFill="1" applyAlignment="1">
      <alignment vertical="center"/>
    </xf>
    <xf numFmtId="1" fontId="28" fillId="11" borderId="24" xfId="0" applyNumberFormat="1" applyFont="1" applyFill="1" applyBorder="1" applyAlignment="1">
      <alignment vertical="center"/>
    </xf>
    <xf numFmtId="167" fontId="31" fillId="11" borderId="0" xfId="0" applyNumberFormat="1" applyFont="1" applyFill="1" applyAlignment="1">
      <alignment vertical="center"/>
    </xf>
    <xf numFmtId="0" fontId="31" fillId="11" borderId="0" xfId="0" applyFont="1" applyFill="1" applyAlignment="1">
      <alignment horizontal="left" vertical="center" indent="1"/>
    </xf>
    <xf numFmtId="187" fontId="42" fillId="2" borderId="0" xfId="0" applyNumberFormat="1" applyFont="1" applyFill="1" applyAlignment="1" applyProtection="1">
      <alignment horizontal="center" vertical="center"/>
      <protection locked="0"/>
    </xf>
    <xf numFmtId="187" fontId="42" fillId="2" borderId="27" xfId="0" applyNumberFormat="1" applyFont="1" applyFill="1" applyBorder="1" applyAlignment="1" applyProtection="1">
      <alignment horizontal="center" vertical="center"/>
      <protection locked="0"/>
    </xf>
    <xf numFmtId="9" fontId="38" fillId="11" borderId="0" xfId="0" applyNumberFormat="1" applyFont="1" applyFill="1" applyAlignment="1">
      <alignment horizontal="left" indent="1"/>
    </xf>
    <xf numFmtId="0" fontId="150" fillId="2" borderId="0" xfId="0" applyFont="1" applyFill="1" applyAlignment="1">
      <alignment horizontal="left"/>
    </xf>
    <xf numFmtId="0" fontId="31" fillId="11" borderId="0" xfId="0" applyFont="1" applyFill="1" applyAlignment="1">
      <alignment vertical="center"/>
    </xf>
    <xf numFmtId="0" fontId="31" fillId="11" borderId="0" xfId="0" applyFont="1" applyFill="1" applyAlignment="1">
      <alignment horizontal="left" vertical="center"/>
    </xf>
    <xf numFmtId="0" fontId="65" fillId="11" borderId="0" xfId="0" applyFont="1" applyFill="1" applyAlignment="1">
      <alignment horizontal="left" vertical="center"/>
    </xf>
    <xf numFmtId="0" fontId="42" fillId="3" borderId="0" xfId="0" applyFont="1" applyFill="1" applyAlignment="1">
      <alignment horizontal="center" vertical="center"/>
    </xf>
    <xf numFmtId="0" fontId="195" fillId="2" borderId="0" xfId="0" applyFont="1" applyFill="1" applyAlignment="1">
      <alignment vertical="center"/>
    </xf>
    <xf numFmtId="0" fontId="6" fillId="2" borderId="0" xfId="0" applyFont="1" applyFill="1" applyAlignment="1">
      <alignment horizontal="left" vertical="center"/>
    </xf>
    <xf numFmtId="1" fontId="195" fillId="2" borderId="0" xfId="0" applyNumberFormat="1" applyFont="1" applyFill="1" applyAlignment="1">
      <alignment vertical="center"/>
    </xf>
    <xf numFmtId="1" fontId="195" fillId="2" borderId="4" xfId="0" applyNumberFormat="1" applyFont="1" applyFill="1" applyBorder="1" applyAlignment="1">
      <alignment vertical="center"/>
    </xf>
    <xf numFmtId="0" fontId="6" fillId="2" borderId="6" xfId="0" applyFont="1" applyFill="1" applyBorder="1" applyAlignment="1">
      <alignment horizontal="left" indent="1"/>
    </xf>
    <xf numFmtId="3" fontId="0" fillId="2" borderId="0" xfId="0" applyNumberFormat="1" applyFill="1"/>
    <xf numFmtId="0" fontId="0" fillId="2" borderId="4" xfId="0" applyFill="1" applyBorder="1" applyAlignment="1">
      <alignment horizontal="left" indent="1"/>
    </xf>
    <xf numFmtId="3" fontId="6" fillId="2" borderId="0" xfId="0" applyNumberFormat="1" applyFont="1" applyFill="1" applyAlignment="1">
      <alignment horizontal="right"/>
    </xf>
    <xf numFmtId="3" fontId="6" fillId="2" borderId="7" xfId="0" applyNumberFormat="1" applyFont="1" applyFill="1" applyBorder="1" applyAlignment="1">
      <alignment horizontal="right"/>
    </xf>
    <xf numFmtId="3" fontId="6" fillId="2" borderId="0" xfId="0" applyNumberFormat="1" applyFont="1" applyFill="1"/>
    <xf numFmtId="3" fontId="32" fillId="2" borderId="3" xfId="0" applyNumberFormat="1" applyFont="1" applyFill="1" applyBorder="1"/>
    <xf numFmtId="0" fontId="40" fillId="6" borderId="34" xfId="0" applyFont="1" applyFill="1" applyBorder="1" applyAlignment="1">
      <alignment horizontal="center" vertical="center"/>
    </xf>
    <xf numFmtId="0" fontId="2" fillId="6" borderId="0" xfId="0" applyFont="1" applyFill="1" applyAlignment="1">
      <alignment vertical="center"/>
    </xf>
    <xf numFmtId="0" fontId="65" fillId="6" borderId="0" xfId="0" applyFont="1" applyFill="1" applyAlignment="1">
      <alignment horizontal="center" vertical="center"/>
    </xf>
    <xf numFmtId="10" fontId="51" fillId="6" borderId="19" xfId="0" applyNumberFormat="1" applyFont="1" applyFill="1" applyBorder="1" applyAlignment="1" applyProtection="1">
      <alignment horizontal="left" vertical="center"/>
      <protection locked="0"/>
    </xf>
    <xf numFmtId="0" fontId="72" fillId="6" borderId="19" xfId="0" applyFont="1" applyFill="1" applyBorder="1" applyAlignment="1">
      <alignment horizontal="left" indent="1"/>
    </xf>
    <xf numFmtId="187" fontId="51" fillId="6" borderId="19" xfId="0" applyNumberFormat="1" applyFont="1" applyFill="1" applyBorder="1" applyAlignment="1">
      <alignment horizontal="center" vertical="center"/>
    </xf>
    <xf numFmtId="0" fontId="72" fillId="6" borderId="19" xfId="0" applyFont="1" applyFill="1" applyBorder="1" applyAlignment="1">
      <alignment horizontal="left" vertical="center" indent="1"/>
    </xf>
    <xf numFmtId="2" fontId="32" fillId="6" borderId="0" xfId="0" applyNumberFormat="1" applyFont="1" applyFill="1"/>
    <xf numFmtId="166" fontId="31" fillId="6" borderId="0" xfId="0" applyNumberFormat="1" applyFont="1" applyFill="1"/>
    <xf numFmtId="0" fontId="31" fillId="6" borderId="18" xfId="0" applyFont="1" applyFill="1" applyBorder="1" applyAlignment="1">
      <alignment vertical="center"/>
    </xf>
    <xf numFmtId="0" fontId="32" fillId="6" borderId="18" xfId="0" applyFont="1" applyFill="1" applyBorder="1"/>
    <xf numFmtId="167" fontId="31" fillId="6" borderId="0" xfId="0" applyNumberFormat="1" applyFont="1" applyFill="1"/>
    <xf numFmtId="167" fontId="31" fillId="6" borderId="0" xfId="0" applyNumberFormat="1" applyFont="1" applyFill="1" applyAlignment="1">
      <alignment vertical="center"/>
    </xf>
    <xf numFmtId="164" fontId="95" fillId="6" borderId="0" xfId="0" applyNumberFormat="1" applyFont="1" applyFill="1" applyAlignment="1">
      <alignment horizontal="left" indent="1"/>
    </xf>
    <xf numFmtId="187" fontId="38" fillId="6" borderId="0" xfId="0" applyNumberFormat="1" applyFont="1" applyFill="1" applyAlignment="1" applyProtection="1">
      <alignment horizontal="center" vertical="center"/>
      <protection locked="0"/>
    </xf>
    <xf numFmtId="187" fontId="42" fillId="2" borderId="18" xfId="0" applyNumberFormat="1" applyFont="1" applyFill="1" applyBorder="1" applyAlignment="1" applyProtection="1">
      <alignment horizontal="center" vertical="center"/>
      <protection locked="0"/>
    </xf>
    <xf numFmtId="0" fontId="42" fillId="3" borderId="0" xfId="0" applyFont="1" applyFill="1" applyAlignment="1">
      <alignment horizontal="left" vertical="top" indent="1"/>
    </xf>
    <xf numFmtId="0" fontId="32" fillId="6" borderId="137" xfId="0" applyFont="1" applyFill="1" applyBorder="1"/>
    <xf numFmtId="0" fontId="0" fillId="6" borderId="145" xfId="0" applyFill="1" applyBorder="1"/>
    <xf numFmtId="0" fontId="39" fillId="6" borderId="30" xfId="0" applyFont="1" applyFill="1" applyBorder="1" applyAlignment="1">
      <alignment vertical="top"/>
    </xf>
    <xf numFmtId="0" fontId="0" fillId="6" borderId="30" xfId="0" applyFill="1" applyBorder="1"/>
    <xf numFmtId="1" fontId="53" fillId="6" borderId="0" xfId="0" applyNumberFormat="1" applyFont="1" applyFill="1" applyAlignment="1">
      <alignment horizontal="left" vertical="top" indent="1"/>
    </xf>
    <xf numFmtId="187" fontId="42" fillId="2" borderId="30" xfId="0" applyNumberFormat="1" applyFont="1" applyFill="1" applyBorder="1" applyAlignment="1" applyProtection="1">
      <alignment horizontal="center" vertical="center"/>
      <protection locked="0"/>
    </xf>
    <xf numFmtId="166" fontId="32" fillId="0" borderId="0" xfId="0" applyNumberFormat="1" applyFont="1" applyAlignment="1" applyProtection="1">
      <alignment horizontal="center" vertical="center"/>
      <protection locked="0"/>
    </xf>
    <xf numFmtId="2" fontId="6" fillId="6" borderId="0" xfId="0" applyNumberFormat="1" applyFont="1" applyFill="1"/>
    <xf numFmtId="1" fontId="28" fillId="6" borderId="0" xfId="0" applyNumberFormat="1" applyFont="1" applyFill="1" applyAlignment="1">
      <alignment vertical="center"/>
    </xf>
    <xf numFmtId="2" fontId="6" fillId="6" borderId="0" xfId="0" applyNumberFormat="1" applyFont="1" applyFill="1" applyAlignment="1">
      <alignment vertical="center"/>
    </xf>
    <xf numFmtId="0" fontId="0" fillId="6" borderId="146" xfId="0" applyFill="1" applyBorder="1"/>
    <xf numFmtId="0" fontId="64" fillId="6" borderId="147" xfId="0" applyFont="1" applyFill="1" applyBorder="1" applyAlignment="1">
      <alignment vertical="center"/>
    </xf>
    <xf numFmtId="0" fontId="0" fillId="6" borderId="147" xfId="0" applyFill="1" applyBorder="1"/>
    <xf numFmtId="187" fontId="38" fillId="6" borderId="30" xfId="0" applyNumberFormat="1" applyFont="1" applyFill="1" applyBorder="1" applyAlignment="1" applyProtection="1">
      <alignment horizontal="center" vertical="center"/>
      <protection locked="0"/>
    </xf>
    <xf numFmtId="187" fontId="38" fillId="6" borderId="27" xfId="0" applyNumberFormat="1" applyFont="1" applyFill="1" applyBorder="1" applyAlignment="1" applyProtection="1">
      <alignment horizontal="center" vertical="center"/>
      <protection locked="0"/>
    </xf>
    <xf numFmtId="0" fontId="0" fillId="6" borderId="148" xfId="0" applyFill="1" applyBorder="1"/>
    <xf numFmtId="0" fontId="0" fillId="6" borderId="27" xfId="0" applyFill="1" applyBorder="1"/>
    <xf numFmtId="0" fontId="39" fillId="6" borderId="27" xfId="0" applyFont="1" applyFill="1" applyBorder="1" applyAlignment="1">
      <alignment vertical="top"/>
    </xf>
    <xf numFmtId="187" fontId="38" fillId="6" borderId="18" xfId="0" applyNumberFormat="1" applyFont="1" applyFill="1" applyBorder="1" applyAlignment="1" applyProtection="1">
      <alignment horizontal="center" vertical="center"/>
      <protection locked="0"/>
    </xf>
    <xf numFmtId="190" fontId="90" fillId="2" borderId="7" xfId="0" applyNumberFormat="1" applyFont="1" applyFill="1" applyBorder="1"/>
    <xf numFmtId="190" fontId="90" fillId="2" borderId="4" xfId="0" applyNumberFormat="1" applyFont="1" applyFill="1" applyBorder="1"/>
    <xf numFmtId="187" fontId="38" fillId="11" borderId="27" xfId="0" applyNumberFormat="1" applyFont="1" applyFill="1" applyBorder="1" applyAlignment="1" applyProtection="1">
      <alignment horizontal="center" vertical="center"/>
      <protection locked="0"/>
    </xf>
    <xf numFmtId="0" fontId="0" fillId="2" borderId="0" xfId="0" applyFill="1" applyAlignment="1">
      <alignment horizontal="left" vertical="top" indent="2"/>
    </xf>
    <xf numFmtId="0" fontId="0" fillId="2" borderId="0" xfId="0" applyFill="1" applyAlignment="1">
      <alignment horizontal="left" indent="2"/>
    </xf>
    <xf numFmtId="0" fontId="0" fillId="2" borderId="0" xfId="0" applyFill="1" applyAlignment="1">
      <alignment horizontal="left" vertical="center" indent="2"/>
    </xf>
    <xf numFmtId="0" fontId="5" fillId="2" borderId="0" xfId="0" applyFont="1" applyFill="1" applyAlignment="1">
      <alignment horizontal="center"/>
    </xf>
    <xf numFmtId="0" fontId="0" fillId="2" borderId="0" xfId="0" applyFill="1" applyAlignment="1">
      <alignment horizontal="left" vertical="center" indent="1"/>
    </xf>
    <xf numFmtId="0" fontId="27" fillId="11" borderId="0" xfId="0" applyFont="1" applyFill="1" applyAlignment="1">
      <alignment horizontal="left"/>
    </xf>
    <xf numFmtId="0" fontId="27" fillId="11" borderId="0" xfId="0" applyFont="1" applyFill="1"/>
    <xf numFmtId="187" fontId="38" fillId="11" borderId="18" xfId="0" applyNumberFormat="1" applyFont="1" applyFill="1" applyBorder="1" applyAlignment="1" applyProtection="1">
      <alignment horizontal="center" vertical="center"/>
      <protection locked="0"/>
    </xf>
    <xf numFmtId="187" fontId="42" fillId="2" borderId="28" xfId="0" applyNumberFormat="1" applyFont="1" applyFill="1" applyBorder="1" applyAlignment="1" applyProtection="1">
      <alignment horizontal="center" vertical="center"/>
      <protection locked="0"/>
    </xf>
    <xf numFmtId="0" fontId="0" fillId="2" borderId="5" xfId="0" applyFill="1" applyBorder="1" applyAlignment="1">
      <alignment horizontal="right" vertical="center"/>
    </xf>
    <xf numFmtId="0" fontId="25" fillId="0" borderId="0" xfId="0" applyFont="1" applyAlignment="1">
      <alignment horizontal="right"/>
    </xf>
    <xf numFmtId="0" fontId="4" fillId="0" borderId="0" xfId="0" applyFont="1" applyAlignment="1">
      <alignment horizontal="left" indent="1"/>
    </xf>
    <xf numFmtId="0" fontId="196" fillId="0" borderId="0" xfId="0" applyFont="1" applyAlignment="1">
      <alignment horizontal="left" indent="1"/>
    </xf>
    <xf numFmtId="0" fontId="31" fillId="6" borderId="147" xfId="0" applyFont="1" applyFill="1" applyBorder="1" applyAlignment="1">
      <alignment horizontal="center" vertical="center"/>
    </xf>
    <xf numFmtId="0" fontId="32" fillId="6" borderId="147" xfId="0" applyFont="1" applyFill="1" applyBorder="1"/>
    <xf numFmtId="0" fontId="0" fillId="6" borderId="149" xfId="0" applyFill="1" applyBorder="1"/>
    <xf numFmtId="0" fontId="27" fillId="6" borderId="0" xfId="0" applyFont="1" applyFill="1"/>
    <xf numFmtId="0" fontId="0" fillId="6" borderId="35" xfId="0" applyFill="1" applyBorder="1" applyAlignment="1">
      <alignment horizontal="center"/>
    </xf>
    <xf numFmtId="0" fontId="27" fillId="6" borderId="36" xfId="0" applyFont="1" applyFill="1" applyBorder="1" applyAlignment="1">
      <alignment horizontal="left" indent="3"/>
    </xf>
    <xf numFmtId="0" fontId="27" fillId="6" borderId="37" xfId="0" applyFont="1" applyFill="1" applyBorder="1"/>
    <xf numFmtId="0" fontId="28" fillId="6" borderId="36" xfId="0" applyFont="1" applyFill="1" applyBorder="1" applyAlignment="1">
      <alignment horizontal="left" indent="3"/>
    </xf>
    <xf numFmtId="0" fontId="28" fillId="6" borderId="36" xfId="0" applyFont="1" applyFill="1" applyBorder="1" applyAlignment="1">
      <alignment horizontal="left" vertical="top" indent="3"/>
    </xf>
    <xf numFmtId="0" fontId="0" fillId="6" borderId="37" xfId="0" applyFill="1" applyBorder="1" applyAlignment="1">
      <alignment horizontal="center"/>
    </xf>
    <xf numFmtId="166" fontId="0" fillId="6" borderId="39" xfId="0" applyNumberFormat="1" applyFill="1" applyBorder="1" applyAlignment="1">
      <alignment horizontal="center"/>
    </xf>
    <xf numFmtId="0" fontId="2" fillId="6" borderId="0" xfId="0" applyFont="1" applyFill="1"/>
    <xf numFmtId="0" fontId="174" fillId="2" borderId="0" xfId="0" applyFont="1" applyFill="1"/>
    <xf numFmtId="0" fontId="197" fillId="2" borderId="0" xfId="0" applyFont="1" applyFill="1" applyAlignment="1">
      <alignment horizontal="center" vertical="center"/>
    </xf>
    <xf numFmtId="0" fontId="198" fillId="2" borderId="0" xfId="0" applyFont="1" applyFill="1"/>
    <xf numFmtId="0" fontId="54" fillId="11" borderId="0" xfId="0" applyFont="1" applyFill="1"/>
    <xf numFmtId="0" fontId="108" fillId="0" borderId="7" xfId="0" applyFont="1" applyBorder="1" applyAlignment="1">
      <alignment vertical="center"/>
    </xf>
    <xf numFmtId="0" fontId="158" fillId="2" borderId="7" xfId="0" applyFont="1" applyFill="1" applyBorder="1" applyAlignment="1">
      <alignment horizontal="right"/>
    </xf>
    <xf numFmtId="187" fontId="28" fillId="6" borderId="0" xfId="0" applyNumberFormat="1" applyFont="1" applyFill="1"/>
    <xf numFmtId="0" fontId="53" fillId="6" borderId="0" xfId="0" applyFont="1" applyFill="1" applyAlignment="1">
      <alignment horizontal="left"/>
    </xf>
    <xf numFmtId="0" fontId="28" fillId="6" borderId="0" xfId="0" applyFont="1" applyFill="1" applyAlignment="1">
      <alignment horizontal="center"/>
    </xf>
    <xf numFmtId="166" fontId="0" fillId="0" borderId="0" xfId="0" applyNumberFormat="1"/>
    <xf numFmtId="3" fontId="31" fillId="11" borderId="0" xfId="0" applyNumberFormat="1" applyFont="1" applyFill="1" applyAlignment="1">
      <alignment horizontal="center" vertical="center"/>
    </xf>
    <xf numFmtId="0" fontId="2" fillId="2" borderId="0" xfId="0" applyFont="1" applyFill="1" applyAlignment="1">
      <alignment horizontal="right" indent="1"/>
    </xf>
    <xf numFmtId="0" fontId="0" fillId="0" borderId="0" xfId="0" applyAlignment="1">
      <alignment horizontal="left" indent="2"/>
    </xf>
    <xf numFmtId="1" fontId="6" fillId="2" borderId="7" xfId="0" applyNumberFormat="1" applyFont="1" applyFill="1" applyBorder="1" applyAlignment="1">
      <alignment horizontal="right" vertical="center"/>
    </xf>
    <xf numFmtId="0" fontId="64" fillId="2" borderId="6" xfId="0" applyFont="1" applyFill="1" applyBorder="1" applyAlignment="1">
      <alignment horizontal="left" vertical="center" indent="1"/>
    </xf>
    <xf numFmtId="0" fontId="28" fillId="2" borderId="1" xfId="0" applyFont="1" applyFill="1" applyBorder="1"/>
    <xf numFmtId="0" fontId="6" fillId="2" borderId="8" xfId="0" applyFont="1" applyFill="1" applyBorder="1"/>
    <xf numFmtId="0" fontId="70" fillId="2" borderId="8" xfId="0" applyFont="1" applyFill="1" applyBorder="1"/>
    <xf numFmtId="0" fontId="70" fillId="2" borderId="2" xfId="0" applyFont="1" applyFill="1" applyBorder="1"/>
    <xf numFmtId="0" fontId="28" fillId="2" borderId="3" xfId="0" applyFont="1" applyFill="1" applyBorder="1"/>
    <xf numFmtId="0" fontId="52" fillId="2" borderId="4" xfId="0" applyFont="1" applyFill="1" applyBorder="1" applyAlignment="1">
      <alignment vertical="center"/>
    </xf>
    <xf numFmtId="0" fontId="31" fillId="2" borderId="3" xfId="0" applyFont="1" applyFill="1" applyBorder="1"/>
    <xf numFmtId="0" fontId="2" fillId="2" borderId="0" xfId="0" applyFont="1" applyFill="1" applyAlignment="1">
      <alignment horizontal="right" vertical="center"/>
    </xf>
    <xf numFmtId="2" fontId="32" fillId="0" borderId="0" xfId="0" applyNumberFormat="1" applyFont="1"/>
    <xf numFmtId="3" fontId="42" fillId="2" borderId="0" xfId="0" applyNumberFormat="1" applyFont="1" applyFill="1"/>
    <xf numFmtId="0" fontId="190" fillId="0" borderId="3" xfId="0" applyFont="1" applyBorder="1" applyAlignment="1">
      <alignment vertical="center"/>
    </xf>
    <xf numFmtId="0" fontId="28" fillId="2" borderId="5" xfId="0" applyFont="1" applyFill="1" applyBorder="1"/>
    <xf numFmtId="0" fontId="31" fillId="2" borderId="5" xfId="0" applyFont="1" applyFill="1" applyBorder="1"/>
    <xf numFmtId="0" fontId="72" fillId="6" borderId="0" xfId="0" applyFont="1" applyFill="1" applyAlignment="1">
      <alignment vertical="top"/>
    </xf>
    <xf numFmtId="0" fontId="27" fillId="6" borderId="0" xfId="0" applyFont="1" applyFill="1" applyAlignment="1">
      <alignment horizontal="left"/>
    </xf>
    <xf numFmtId="0" fontId="28" fillId="6" borderId="18" xfId="0" applyFont="1" applyFill="1" applyBorder="1" applyAlignment="1">
      <alignment horizontal="center"/>
    </xf>
    <xf numFmtId="0" fontId="0" fillId="0" borderId="18" xfId="0" applyBorder="1"/>
    <xf numFmtId="0" fontId="186" fillId="2" borderId="0" xfId="0" applyFont="1" applyFill="1" applyAlignment="1">
      <alignment horizontal="left" vertical="center" indent="1"/>
    </xf>
    <xf numFmtId="0" fontId="42" fillId="2" borderId="0" xfId="0" applyFont="1" applyFill="1" applyAlignment="1">
      <alignment horizontal="left" vertical="top" indent="2"/>
    </xf>
    <xf numFmtId="0" fontId="199" fillId="0" borderId="3" xfId="0" applyFont="1" applyBorder="1" applyAlignment="1">
      <alignment vertical="center"/>
    </xf>
    <xf numFmtId="0" fontId="201" fillId="2" borderId="0" xfId="0" quotePrefix="1" applyFont="1" applyFill="1" applyAlignment="1">
      <alignment horizontal="center" vertical="center"/>
    </xf>
    <xf numFmtId="0" fontId="201" fillId="2" borderId="0" xfId="0" applyFont="1" applyFill="1" applyAlignment="1">
      <alignment horizontal="center" vertical="center"/>
    </xf>
    <xf numFmtId="0" fontId="8" fillId="2" borderId="0" xfId="0" applyFont="1" applyFill="1" applyAlignment="1">
      <alignment horizontal="center" vertical="center"/>
    </xf>
    <xf numFmtId="0" fontId="202" fillId="0" borderId="0" xfId="1" applyFont="1" applyAlignment="1"/>
    <xf numFmtId="0" fontId="6" fillId="0" borderId="0" xfId="0" applyFont="1"/>
    <xf numFmtId="171" fontId="6" fillId="2" borderId="0" xfId="0" applyNumberFormat="1" applyFont="1" applyFill="1" applyAlignment="1">
      <alignment horizontal="center"/>
    </xf>
    <xf numFmtId="171" fontId="6" fillId="0" borderId="0" xfId="0" applyNumberFormat="1" applyFont="1"/>
    <xf numFmtId="2" fontId="6" fillId="2" borderId="0" xfId="0" applyNumberFormat="1" applyFont="1" applyFill="1"/>
    <xf numFmtId="0" fontId="152" fillId="0" borderId="3" xfId="0" applyFont="1" applyBorder="1" applyAlignment="1">
      <alignment horizontal="right" vertical="center"/>
    </xf>
    <xf numFmtId="0" fontId="0" fillId="3" borderId="11" xfId="0" applyFill="1" applyBorder="1" applyAlignment="1">
      <alignment horizontal="left" vertical="center" wrapText="1" indent="1"/>
    </xf>
    <xf numFmtId="0" fontId="0" fillId="3" borderId="11" xfId="0" applyFill="1" applyBorder="1" applyAlignment="1">
      <alignment vertical="center" wrapText="1"/>
    </xf>
    <xf numFmtId="0" fontId="204" fillId="3" borderId="9" xfId="0" applyFont="1" applyFill="1" applyBorder="1" applyAlignment="1">
      <alignment horizontal="left" vertical="center" wrapText="1" indent="1"/>
    </xf>
    <xf numFmtId="0" fontId="2" fillId="0" borderId="3" xfId="0" applyFont="1" applyBorder="1" applyAlignment="1">
      <alignment horizontal="right"/>
    </xf>
    <xf numFmtId="0" fontId="12" fillId="2" borderId="3" xfId="0" applyFont="1" applyFill="1" applyBorder="1" applyAlignment="1">
      <alignment horizontal="right" vertical="top"/>
    </xf>
    <xf numFmtId="0" fontId="2" fillId="2" borderId="3" xfId="0" applyFont="1" applyFill="1" applyBorder="1" applyAlignment="1">
      <alignment horizontal="right"/>
    </xf>
    <xf numFmtId="0" fontId="12" fillId="2" borderId="3" xfId="0" applyFont="1" applyFill="1" applyBorder="1" applyAlignment="1">
      <alignment horizontal="right" vertical="center"/>
    </xf>
    <xf numFmtId="0" fontId="2" fillId="0" borderId="3" xfId="0" applyFont="1" applyBorder="1" applyAlignment="1">
      <alignment horizontal="right" vertical="center"/>
    </xf>
    <xf numFmtId="0" fontId="0" fillId="0" borderId="3" xfId="0" applyBorder="1" applyAlignment="1">
      <alignment horizontal="right" vertical="center"/>
    </xf>
    <xf numFmtId="0" fontId="2" fillId="2" borderId="3" xfId="0" applyFont="1" applyFill="1" applyBorder="1" applyAlignment="1">
      <alignment horizontal="right" vertical="center"/>
    </xf>
    <xf numFmtId="0" fontId="204" fillId="0" borderId="0" xfId="0" applyFont="1" applyAlignment="1">
      <alignment horizontal="left" vertical="center" indent="2"/>
    </xf>
    <xf numFmtId="0" fontId="205" fillId="0" borderId="0" xfId="0" applyFont="1" applyAlignment="1">
      <alignment horizontal="left" vertical="center" indent="1"/>
    </xf>
    <xf numFmtId="0" fontId="25" fillId="0" borderId="0" xfId="0" applyFont="1" applyAlignment="1">
      <alignment horizontal="left" vertical="center" indent="1"/>
    </xf>
    <xf numFmtId="0" fontId="206" fillId="2" borderId="0" xfId="0" applyFont="1" applyFill="1" applyAlignment="1">
      <alignment horizontal="left" vertical="center" indent="1"/>
    </xf>
    <xf numFmtId="0" fontId="204" fillId="0" borderId="0" xfId="0" applyFont="1" applyAlignment="1">
      <alignment horizontal="left" vertical="center" indent="1"/>
    </xf>
    <xf numFmtId="3" fontId="12" fillId="2" borderId="0" xfId="0" applyNumberFormat="1" applyFont="1" applyFill="1" applyAlignment="1">
      <alignment horizontal="center" vertical="center"/>
    </xf>
    <xf numFmtId="184" fontId="0" fillId="0" borderId="0" xfId="0" applyNumberFormat="1" applyAlignment="1">
      <alignment horizontal="center" vertical="center"/>
    </xf>
    <xf numFmtId="0" fontId="155" fillId="2" borderId="0" xfId="0" applyFont="1" applyFill="1" applyAlignment="1">
      <alignment horizontal="left" indent="1"/>
    </xf>
    <xf numFmtId="9" fontId="59" fillId="6" borderId="23" xfId="0" applyNumberFormat="1" applyFont="1" applyFill="1" applyBorder="1" applyAlignment="1">
      <alignment vertical="top"/>
    </xf>
    <xf numFmtId="0" fontId="59" fillId="6" borderId="0" xfId="0" applyFont="1" applyFill="1" applyAlignment="1">
      <alignment vertical="top"/>
    </xf>
    <xf numFmtId="0" fontId="59" fillId="6" borderId="24" xfId="0" applyFont="1" applyFill="1" applyBorder="1" applyAlignment="1">
      <alignment vertical="top"/>
    </xf>
    <xf numFmtId="164" fontId="32" fillId="0" borderId="51" xfId="0" applyNumberFormat="1" applyFont="1" applyBorder="1" applyAlignment="1" applyProtection="1">
      <alignment horizontal="center"/>
      <protection locked="0"/>
    </xf>
    <xf numFmtId="10" fontId="32" fillId="0" borderId="51" xfId="0" applyNumberFormat="1" applyFont="1" applyBorder="1" applyAlignment="1" applyProtection="1">
      <alignment horizontal="center"/>
      <protection locked="0"/>
    </xf>
    <xf numFmtId="10" fontId="38" fillId="6" borderId="0" xfId="0" applyNumberFormat="1" applyFont="1" applyFill="1" applyAlignment="1">
      <alignment horizontal="left" vertical="center"/>
    </xf>
    <xf numFmtId="164" fontId="38" fillId="6" borderId="0" xfId="0" applyNumberFormat="1" applyFont="1" applyFill="1" applyAlignment="1">
      <alignment horizontal="left" vertical="top"/>
    </xf>
    <xf numFmtId="164" fontId="38" fillId="6" borderId="24" xfId="0" applyNumberFormat="1" applyFont="1" applyFill="1" applyBorder="1" applyAlignment="1">
      <alignment horizontal="center" vertical="center"/>
    </xf>
    <xf numFmtId="9" fontId="208" fillId="2" borderId="4" xfId="0" applyNumberFormat="1" applyFont="1" applyFill="1" applyBorder="1"/>
    <xf numFmtId="164" fontId="208" fillId="2" borderId="4" xfId="0" applyNumberFormat="1" applyFont="1" applyFill="1" applyBorder="1"/>
    <xf numFmtId="9" fontId="208" fillId="0" borderId="4" xfId="0" applyNumberFormat="1" applyFont="1" applyBorder="1"/>
    <xf numFmtId="9" fontId="208" fillId="2" borderId="4" xfId="0" applyNumberFormat="1" applyFont="1" applyFill="1" applyBorder="1" applyAlignment="1">
      <alignment horizontal="left"/>
    </xf>
    <xf numFmtId="164" fontId="208" fillId="0" borderId="4" xfId="0" applyNumberFormat="1" applyFont="1" applyBorder="1" applyAlignment="1">
      <alignment horizontal="left"/>
    </xf>
    <xf numFmtId="9" fontId="208" fillId="0" borderId="4" xfId="0" applyNumberFormat="1" applyFont="1" applyBorder="1" applyAlignment="1">
      <alignment horizontal="left"/>
    </xf>
    <xf numFmtId="164" fontId="208" fillId="0" borderId="6" xfId="0" applyNumberFormat="1" applyFont="1" applyBorder="1" applyAlignment="1">
      <alignment horizontal="left"/>
    </xf>
    <xf numFmtId="10" fontId="208" fillId="0" borderId="4" xfId="0" applyNumberFormat="1" applyFont="1" applyBorder="1"/>
    <xf numFmtId="10" fontId="28" fillId="6" borderId="0" xfId="0" applyNumberFormat="1" applyFont="1" applyFill="1" applyAlignment="1">
      <alignment horizontal="center" vertical="center"/>
    </xf>
    <xf numFmtId="10" fontId="39" fillId="6" borderId="0" xfId="4" applyNumberFormat="1" applyFont="1" applyFill="1" applyAlignment="1">
      <alignment horizontal="left" vertical="center"/>
    </xf>
    <xf numFmtId="9" fontId="207" fillId="2" borderId="4" xfId="4" applyFont="1" applyFill="1" applyBorder="1"/>
    <xf numFmtId="10" fontId="207" fillId="2" borderId="4" xfId="4" applyNumberFormat="1" applyFont="1" applyFill="1" applyBorder="1"/>
    <xf numFmtId="164" fontId="207" fillId="2" borderId="6" xfId="4" applyNumberFormat="1" applyFont="1" applyFill="1" applyBorder="1"/>
    <xf numFmtId="9" fontId="207" fillId="0" borderId="4" xfId="4" applyFont="1" applyBorder="1"/>
    <xf numFmtId="164" fontId="207" fillId="0" borderId="4" xfId="4" applyNumberFormat="1" applyFont="1" applyBorder="1"/>
    <xf numFmtId="164" fontId="207" fillId="0" borderId="6" xfId="4" applyNumberFormat="1" applyFont="1" applyBorder="1"/>
    <xf numFmtId="9" fontId="208" fillId="2" borderId="4" xfId="4" applyFont="1" applyFill="1" applyBorder="1"/>
    <xf numFmtId="164" fontId="208" fillId="2" borderId="6" xfId="4" applyNumberFormat="1" applyFont="1" applyFill="1" applyBorder="1"/>
    <xf numFmtId="164" fontId="208" fillId="2" borderId="4" xfId="4" applyNumberFormat="1" applyFont="1" applyFill="1" applyBorder="1"/>
    <xf numFmtId="10" fontId="208" fillId="2" borderId="4" xfId="4" applyNumberFormat="1" applyFont="1" applyFill="1" applyBorder="1"/>
    <xf numFmtId="9" fontId="209" fillId="0" borderId="4" xfId="4" applyFont="1" applyBorder="1"/>
    <xf numFmtId="9" fontId="209" fillId="0" borderId="4" xfId="4" applyFont="1" applyBorder="1" applyAlignment="1">
      <alignment horizontal="right" indent="1"/>
    </xf>
    <xf numFmtId="9" fontId="170" fillId="0" borderId="4" xfId="4" applyFont="1" applyBorder="1" applyAlignment="1">
      <alignment horizontal="right" indent="1"/>
    </xf>
    <xf numFmtId="9" fontId="208" fillId="0" borderId="4" xfId="4" applyFont="1" applyBorder="1" applyAlignment="1">
      <alignment horizontal="right" indent="1"/>
    </xf>
    <xf numFmtId="9" fontId="171" fillId="0" borderId="4" xfId="4" applyFont="1" applyBorder="1" applyAlignment="1">
      <alignment horizontal="right" indent="1"/>
    </xf>
    <xf numFmtId="164" fontId="171" fillId="0" borderId="4" xfId="4" applyNumberFormat="1" applyFont="1" applyBorder="1" applyAlignment="1">
      <alignment horizontal="right" indent="1"/>
    </xf>
    <xf numFmtId="177" fontId="28" fillId="11" borderId="0" xfId="4" applyNumberFormat="1" applyFont="1" applyFill="1" applyAlignment="1">
      <alignment horizontal="left" indent="1"/>
    </xf>
    <xf numFmtId="177" fontId="171" fillId="0" borderId="4" xfId="4" applyNumberFormat="1" applyFont="1" applyBorder="1" applyAlignment="1">
      <alignment horizontal="right" indent="1"/>
    </xf>
    <xf numFmtId="9" fontId="32" fillId="0" borderId="150" xfId="0" applyNumberFormat="1" applyFont="1" applyBorder="1" applyAlignment="1" applyProtection="1">
      <alignment horizontal="center"/>
      <protection locked="0"/>
    </xf>
    <xf numFmtId="10" fontId="39" fillId="11" borderId="0" xfId="4" applyNumberFormat="1" applyFont="1" applyFill="1" applyAlignment="1">
      <alignment horizontal="left" indent="1"/>
    </xf>
    <xf numFmtId="10" fontId="209" fillId="0" borderId="4" xfId="4" applyNumberFormat="1" applyFont="1" applyBorder="1"/>
    <xf numFmtId="164" fontId="209" fillId="0" borderId="4" xfId="4" applyNumberFormat="1" applyFont="1" applyBorder="1"/>
    <xf numFmtId="164" fontId="208" fillId="0" borderId="4" xfId="4" applyNumberFormat="1" applyFont="1" applyBorder="1" applyAlignment="1">
      <alignment horizontal="right" indent="1"/>
    </xf>
    <xf numFmtId="10" fontId="208" fillId="0" borderId="4" xfId="4" applyNumberFormat="1" applyFont="1" applyBorder="1" applyAlignment="1">
      <alignment horizontal="right" indent="1"/>
    </xf>
    <xf numFmtId="9" fontId="72" fillId="11" borderId="24" xfId="0" applyNumberFormat="1" applyFont="1" applyFill="1" applyBorder="1" applyAlignment="1">
      <alignment vertical="center"/>
    </xf>
    <xf numFmtId="9" fontId="208" fillId="0" borderId="4" xfId="4" applyFont="1" applyBorder="1" applyAlignment="1">
      <alignment horizontal="right" vertical="center" indent="1"/>
    </xf>
    <xf numFmtId="9" fontId="208" fillId="0" borderId="6" xfId="4" applyFont="1" applyBorder="1" applyAlignment="1">
      <alignment horizontal="right" vertical="center" indent="1"/>
    </xf>
    <xf numFmtId="10" fontId="209" fillId="0" borderId="6" xfId="4" applyNumberFormat="1" applyFont="1" applyBorder="1"/>
    <xf numFmtId="164" fontId="170" fillId="0" borderId="6" xfId="4" applyNumberFormat="1" applyFont="1" applyBorder="1" applyAlignment="1">
      <alignment horizontal="right" indent="1"/>
    </xf>
    <xf numFmtId="9" fontId="208" fillId="0" borderId="4" xfId="4" applyFont="1" applyBorder="1"/>
    <xf numFmtId="10" fontId="208" fillId="0" borderId="6" xfId="4" applyNumberFormat="1" applyFont="1" applyBorder="1"/>
    <xf numFmtId="164" fontId="208" fillId="0" borderId="4" xfId="4" applyNumberFormat="1" applyFont="1" applyBorder="1"/>
    <xf numFmtId="0" fontId="117" fillId="10" borderId="0" xfId="0" applyFont="1" applyFill="1"/>
    <xf numFmtId="0" fontId="117" fillId="10" borderId="48" xfId="0" applyFont="1" applyFill="1" applyBorder="1"/>
    <xf numFmtId="0" fontId="35" fillId="6" borderId="0" xfId="0" applyFont="1" applyFill="1" applyAlignment="1">
      <alignment horizontal="left"/>
    </xf>
    <xf numFmtId="0" fontId="213" fillId="6" borderId="0" xfId="0" applyFont="1" applyFill="1" applyAlignment="1">
      <alignment horizontal="center"/>
    </xf>
    <xf numFmtId="0" fontId="33" fillId="6" borderId="0" xfId="0" applyFont="1" applyFill="1" applyAlignment="1">
      <alignment horizontal="left" indent="1"/>
    </xf>
    <xf numFmtId="49" fontId="33" fillId="6" borderId="0" xfId="0" applyNumberFormat="1" applyFont="1" applyFill="1" applyAlignment="1">
      <alignment horizontal="left" indent="1"/>
    </xf>
    <xf numFmtId="9" fontId="66" fillId="6" borderId="0" xfId="0" applyNumberFormat="1" applyFont="1" applyFill="1" applyAlignment="1">
      <alignment horizontal="right" vertical="center"/>
    </xf>
    <xf numFmtId="164" fontId="66" fillId="6" borderId="0" xfId="0" applyNumberFormat="1" applyFont="1" applyFill="1" applyAlignment="1">
      <alignment horizontal="right" vertical="center"/>
    </xf>
    <xf numFmtId="0" fontId="52" fillId="6" borderId="0" xfId="0" applyFont="1" applyFill="1" applyAlignment="1">
      <alignment horizontal="right" vertical="center"/>
    </xf>
    <xf numFmtId="10" fontId="66" fillId="6" borderId="0" xfId="0" applyNumberFormat="1" applyFont="1" applyFill="1" applyAlignment="1">
      <alignment horizontal="right" vertical="center"/>
    </xf>
    <xf numFmtId="10" fontId="208" fillId="2" borderId="4" xfId="0" applyNumberFormat="1" applyFont="1" applyFill="1" applyBorder="1" applyAlignment="1">
      <alignment horizontal="left"/>
    </xf>
    <xf numFmtId="168" fontId="130" fillId="2" borderId="7" xfId="0" applyNumberFormat="1" applyFont="1" applyFill="1" applyBorder="1" applyAlignment="1">
      <alignment horizontal="right" vertical="center"/>
    </xf>
    <xf numFmtId="0" fontId="35" fillId="10" borderId="0" xfId="0" applyFont="1" applyFill="1"/>
    <xf numFmtId="0" fontId="10" fillId="0" borderId="0" xfId="0" applyFont="1" applyAlignment="1">
      <alignment horizontal="left" vertical="center" indent="1"/>
    </xf>
    <xf numFmtId="0" fontId="130" fillId="0" borderId="0" xfId="0" applyFont="1" applyAlignment="1">
      <alignment horizontal="right" vertical="center"/>
    </xf>
    <xf numFmtId="0" fontId="8" fillId="2" borderId="0" xfId="0" applyFont="1" applyFill="1" applyAlignment="1">
      <alignment horizontal="left" vertical="center" indent="2"/>
    </xf>
    <xf numFmtId="185" fontId="0" fillId="6" borderId="0" xfId="0" applyNumberFormat="1" applyFill="1"/>
    <xf numFmtId="165" fontId="215" fillId="6" borderId="0" xfId="0" applyNumberFormat="1" applyFont="1" applyFill="1"/>
    <xf numFmtId="0" fontId="2" fillId="2" borderId="3" xfId="0" applyFont="1" applyFill="1" applyBorder="1" applyAlignment="1">
      <alignment horizontal="left" indent="3"/>
    </xf>
    <xf numFmtId="0" fontId="108" fillId="2" borderId="3" xfId="0" applyFont="1" applyFill="1" applyBorder="1" applyAlignment="1">
      <alignment horizontal="right"/>
    </xf>
    <xf numFmtId="188" fontId="90" fillId="2" borderId="7" xfId="0" applyNumberFormat="1" applyFont="1" applyFill="1" applyBorder="1" applyAlignment="1">
      <alignment horizontal="center"/>
    </xf>
    <xf numFmtId="188" fontId="90" fillId="2" borderId="7" xfId="0" applyNumberFormat="1" applyFont="1" applyFill="1" applyBorder="1" applyAlignment="1">
      <alignment horizontal="right"/>
    </xf>
    <xf numFmtId="190" fontId="90" fillId="2" borderId="7" xfId="0" applyNumberFormat="1" applyFont="1" applyFill="1" applyBorder="1" applyAlignment="1">
      <alignment horizontal="center"/>
    </xf>
    <xf numFmtId="0" fontId="108" fillId="3" borderId="7" xfId="0" applyFont="1" applyFill="1" applyBorder="1" applyAlignment="1">
      <alignment horizontal="right" vertical="center"/>
    </xf>
    <xf numFmtId="189" fontId="90" fillId="2" borderId="7" xfId="0" applyNumberFormat="1" applyFont="1" applyFill="1" applyBorder="1" applyAlignment="1">
      <alignment horizontal="center"/>
    </xf>
    <xf numFmtId="189" fontId="90" fillId="3" borderId="7" xfId="0" applyNumberFormat="1" applyFont="1" applyFill="1" applyBorder="1" applyAlignment="1">
      <alignment horizontal="center"/>
    </xf>
    <xf numFmtId="0" fontId="4" fillId="3" borderId="14" xfId="0" applyFont="1" applyFill="1" applyBorder="1" applyAlignment="1">
      <alignment horizontal="left" vertical="center" indent="1"/>
    </xf>
    <xf numFmtId="0" fontId="11" fillId="3" borderId="113" xfId="0" applyFont="1" applyFill="1" applyBorder="1" applyAlignment="1">
      <alignment horizontal="left" indent="1"/>
    </xf>
    <xf numFmtId="0" fontId="11" fillId="3" borderId="114" xfId="0" applyFont="1" applyFill="1" applyBorder="1" applyAlignment="1">
      <alignment horizontal="left" vertical="top" indent="1"/>
    </xf>
    <xf numFmtId="0" fontId="11" fillId="3" borderId="112" xfId="0" applyFont="1" applyFill="1" applyBorder="1" applyAlignment="1">
      <alignment horizontal="left" vertical="center" indent="1"/>
    </xf>
    <xf numFmtId="189" fontId="90" fillId="2" borderId="7" xfId="0" applyNumberFormat="1" applyFont="1" applyFill="1" applyBorder="1"/>
    <xf numFmtId="0" fontId="130" fillId="2" borderId="116" xfId="0" applyFont="1" applyFill="1" applyBorder="1" applyAlignment="1">
      <alignment horizontal="center"/>
    </xf>
    <xf numFmtId="0" fontId="32" fillId="0" borderId="7" xfId="0" applyFont="1" applyBorder="1" applyAlignment="1">
      <alignment horizontal="center"/>
    </xf>
    <xf numFmtId="14" fontId="216" fillId="11" borderId="0" xfId="0" applyNumberFormat="1" applyFont="1" applyFill="1" applyAlignment="1">
      <alignment horizontal="center" vertical="center"/>
    </xf>
    <xf numFmtId="192" fontId="90" fillId="2" borderId="7" xfId="0" applyNumberFormat="1" applyFont="1" applyFill="1" applyBorder="1" applyAlignment="1">
      <alignment horizontal="center" vertical="center"/>
    </xf>
    <xf numFmtId="191" fontId="90" fillId="2" borderId="7" xfId="0" applyNumberFormat="1" applyFont="1" applyFill="1" applyBorder="1" applyAlignment="1">
      <alignment horizontal="center" vertical="center"/>
    </xf>
    <xf numFmtId="188" fontId="90" fillId="2" borderId="0" xfId="0" applyNumberFormat="1" applyFont="1" applyFill="1"/>
    <xf numFmtId="14" fontId="216" fillId="6" borderId="0" xfId="0" applyNumberFormat="1" applyFont="1" applyFill="1" applyAlignment="1">
      <alignment horizontal="center" vertical="center"/>
    </xf>
    <xf numFmtId="0" fontId="40" fillId="6" borderId="18" xfId="0" applyFont="1" applyFill="1" applyBorder="1"/>
    <xf numFmtId="0" fontId="31" fillId="6" borderId="18" xfId="0" applyFont="1" applyFill="1" applyBorder="1"/>
    <xf numFmtId="0" fontId="31" fillId="2" borderId="0" xfId="0" applyFont="1" applyFill="1"/>
    <xf numFmtId="0" fontId="0" fillId="0" borderId="153" xfId="0" applyBorder="1"/>
    <xf numFmtId="0" fontId="2" fillId="0" borderId="153" xfId="0" applyFont="1" applyBorder="1" applyAlignment="1">
      <alignment horizontal="center"/>
    </xf>
    <xf numFmtId="0" fontId="6" fillId="2" borderId="18" xfId="0" applyFont="1" applyFill="1" applyBorder="1"/>
    <xf numFmtId="0" fontId="64" fillId="7" borderId="154" xfId="0" applyFont="1" applyFill="1" applyBorder="1" applyAlignment="1" applyProtection="1">
      <alignment horizontal="center" vertical="center"/>
      <protection locked="0"/>
    </xf>
    <xf numFmtId="0" fontId="68" fillId="0" borderId="6" xfId="0" applyFont="1" applyBorder="1" applyAlignment="1">
      <alignment horizontal="center"/>
    </xf>
    <xf numFmtId="0" fontId="68" fillId="0" borderId="4" xfId="0" applyFont="1" applyBorder="1" applyAlignment="1">
      <alignment horizontal="center"/>
    </xf>
    <xf numFmtId="0" fontId="64" fillId="0" borderId="0" xfId="0" applyFont="1" applyAlignment="1">
      <alignment horizontal="center" vertical="top" wrapText="1"/>
    </xf>
    <xf numFmtId="0" fontId="78" fillId="0" borderId="47" xfId="0" applyFont="1" applyBorder="1" applyAlignment="1">
      <alignment horizontal="center" vertical="center" wrapText="1"/>
    </xf>
    <xf numFmtId="0" fontId="70" fillId="0" borderId="0" xfId="0" applyFont="1" applyAlignment="1">
      <alignment horizontal="center"/>
    </xf>
    <xf numFmtId="0" fontId="64" fillId="2" borderId="0" xfId="0" applyFont="1" applyFill="1" applyAlignment="1" applyProtection="1">
      <alignment horizontal="center" vertical="center"/>
      <protection locked="0"/>
    </xf>
    <xf numFmtId="0" fontId="2" fillId="0" borderId="153" xfId="0" applyFont="1" applyBorder="1" applyAlignment="1">
      <alignment horizontal="left"/>
    </xf>
    <xf numFmtId="186" fontId="64" fillId="2" borderId="0" xfId="0" applyNumberFormat="1" applyFont="1" applyFill="1" applyAlignment="1">
      <alignment horizontal="right" vertical="center" indent="4"/>
    </xf>
    <xf numFmtId="0" fontId="64" fillId="2" borderId="0" xfId="0" applyFont="1" applyFill="1" applyAlignment="1">
      <alignment horizontal="right" vertical="center" indent="4"/>
    </xf>
    <xf numFmtId="186" fontId="64" fillId="2" borderId="0" xfId="0" applyNumberFormat="1" applyFont="1" applyFill="1" applyAlignment="1">
      <alignment horizontal="right" vertical="center" indent="3"/>
    </xf>
    <xf numFmtId="0" fontId="64" fillId="2" borderId="0" xfId="0" applyFont="1" applyFill="1" applyAlignment="1">
      <alignment horizontal="right" vertical="center" indent="3"/>
    </xf>
    <xf numFmtId="0" fontId="68" fillId="2" borderId="158" xfId="0" applyFont="1" applyFill="1" applyBorder="1" applyAlignment="1">
      <alignment horizontal="left" indent="2"/>
    </xf>
    <xf numFmtId="0" fontId="64" fillId="2" borderId="157" xfId="0" applyFont="1" applyFill="1" applyBorder="1" applyAlignment="1">
      <alignment horizontal="left" indent="2"/>
    </xf>
    <xf numFmtId="0" fontId="42" fillId="2" borderId="153" xfId="0" applyFont="1" applyFill="1" applyBorder="1" applyAlignment="1">
      <alignment horizontal="center"/>
    </xf>
    <xf numFmtId="0" fontId="217" fillId="2" borderId="0" xfId="0" applyFont="1" applyFill="1" applyAlignment="1">
      <alignment horizontal="left" vertical="center" wrapText="1"/>
    </xf>
    <xf numFmtId="0" fontId="68" fillId="2" borderId="157" xfId="0" applyFont="1" applyFill="1" applyBorder="1" applyAlignment="1">
      <alignment horizontal="left" indent="2"/>
    </xf>
    <xf numFmtId="0" fontId="68" fillId="2" borderId="157" xfId="0" applyFont="1" applyFill="1" applyBorder="1" applyAlignment="1">
      <alignment horizontal="left" indent="7"/>
    </xf>
    <xf numFmtId="0" fontId="68" fillId="2" borderId="0" xfId="0" applyFont="1" applyFill="1" applyAlignment="1">
      <alignment horizontal="left" indent="1"/>
    </xf>
    <xf numFmtId="0" fontId="68" fillId="2" borderId="153" xfId="0" applyFont="1" applyFill="1" applyBorder="1" applyAlignment="1">
      <alignment horizontal="left" indent="1"/>
    </xf>
    <xf numFmtId="0" fontId="32" fillId="2" borderId="8" xfId="0" applyFont="1" applyFill="1" applyBorder="1" applyAlignment="1">
      <alignment vertical="center"/>
    </xf>
    <xf numFmtId="189" fontId="90" fillId="2" borderId="7" xfId="0" applyNumberFormat="1" applyFont="1" applyFill="1" applyBorder="1" applyAlignment="1">
      <alignment horizontal="right"/>
    </xf>
    <xf numFmtId="0" fontId="28" fillId="6" borderId="0" xfId="0" applyFont="1" applyFill="1" applyAlignment="1">
      <alignment horizontal="center" vertical="top"/>
    </xf>
    <xf numFmtId="1" fontId="28" fillId="6" borderId="0" xfId="0" applyNumberFormat="1" applyFont="1" applyFill="1" applyAlignment="1">
      <alignment horizontal="right"/>
    </xf>
    <xf numFmtId="167" fontId="28" fillId="6" borderId="0" xfId="0" applyNumberFormat="1" applyFont="1" applyFill="1" applyAlignment="1">
      <alignment horizontal="center" vertical="center"/>
    </xf>
    <xf numFmtId="187" fontId="38" fillId="6" borderId="0" xfId="0" applyNumberFormat="1" applyFont="1" applyFill="1" applyAlignment="1">
      <alignment horizontal="center" vertical="center"/>
    </xf>
    <xf numFmtId="1" fontId="61" fillId="6" borderId="23" xfId="0" applyNumberFormat="1" applyFont="1" applyFill="1" applyBorder="1"/>
    <xf numFmtId="0" fontId="32" fillId="0" borderId="7" xfId="0" applyFont="1" applyBorder="1" applyAlignment="1" applyProtection="1">
      <alignment horizontal="center"/>
      <protection locked="0"/>
    </xf>
    <xf numFmtId="0" fontId="64" fillId="2" borderId="0" xfId="0" applyFont="1" applyFill="1" applyAlignment="1">
      <alignment horizontal="left" vertical="center" wrapText="1"/>
    </xf>
    <xf numFmtId="2" fontId="0" fillId="0" borderId="0" xfId="0" applyNumberFormat="1" applyAlignment="1">
      <alignment horizontal="center"/>
    </xf>
    <xf numFmtId="2" fontId="32" fillId="0" borderId="0" xfId="0" applyNumberFormat="1" applyFont="1" applyAlignment="1">
      <alignment horizontal="center"/>
    </xf>
    <xf numFmtId="0" fontId="78" fillId="0" borderId="0" xfId="0" applyFont="1" applyAlignment="1">
      <alignment horizontal="left" vertical="center" wrapText="1" indent="1"/>
    </xf>
    <xf numFmtId="0" fontId="78" fillId="0" borderId="0" xfId="0" applyFont="1" applyAlignment="1">
      <alignment horizontal="center" vertical="center" wrapText="1"/>
    </xf>
    <xf numFmtId="0" fontId="218" fillId="0" borderId="0" xfId="0" applyFont="1"/>
    <xf numFmtId="186" fontId="6" fillId="2" borderId="0" xfId="0" applyNumberFormat="1" applyFont="1" applyFill="1" applyAlignment="1">
      <alignment horizontal="left" vertical="center" indent="1"/>
    </xf>
    <xf numFmtId="10" fontId="31" fillId="6" borderId="83" xfId="0" applyNumberFormat="1" applyFont="1" applyFill="1" applyBorder="1" applyAlignment="1">
      <alignment horizontal="center" vertical="center"/>
    </xf>
    <xf numFmtId="0" fontId="64" fillId="2" borderId="0" xfId="0" applyFont="1" applyFill="1" applyAlignment="1" applyProtection="1">
      <alignment horizontal="left" vertical="center" indent="2"/>
      <protection locked="0"/>
    </xf>
    <xf numFmtId="0" fontId="64" fillId="2" borderId="83" xfId="0" applyFont="1" applyFill="1" applyBorder="1" applyAlignment="1" applyProtection="1">
      <alignment horizontal="left" vertical="center" indent="2"/>
      <protection locked="0"/>
    </xf>
    <xf numFmtId="3" fontId="38" fillId="6" borderId="0" xfId="0" applyNumberFormat="1" applyFont="1" applyFill="1" applyAlignment="1">
      <alignment horizontal="center"/>
    </xf>
    <xf numFmtId="0" fontId="38" fillId="6" borderId="0" xfId="0" applyFont="1" applyFill="1" applyAlignment="1">
      <alignment horizontal="center"/>
    </xf>
    <xf numFmtId="9" fontId="38" fillId="6" borderId="0" xfId="0" applyNumberFormat="1" applyFont="1" applyFill="1" applyAlignment="1">
      <alignment horizontal="center" vertical="center"/>
    </xf>
    <xf numFmtId="4" fontId="31" fillId="6" borderId="37" xfId="0" applyNumberFormat="1" applyFont="1" applyFill="1" applyBorder="1" applyAlignment="1">
      <alignment horizontal="center"/>
    </xf>
    <xf numFmtId="0" fontId="2" fillId="0" borderId="6" xfId="0" applyFont="1" applyBorder="1"/>
    <xf numFmtId="169" fontId="2" fillId="0" borderId="7" xfId="0" applyNumberFormat="1" applyFont="1" applyBorder="1" applyAlignment="1">
      <alignment horizontal="left"/>
    </xf>
    <xf numFmtId="2" fontId="0" fillId="0" borderId="5" xfId="0" applyNumberFormat="1" applyBorder="1" applyAlignment="1">
      <alignment horizontal="center" vertical="center"/>
    </xf>
    <xf numFmtId="165" fontId="31" fillId="6" borderId="0" xfId="0" applyNumberFormat="1" applyFont="1" applyFill="1" applyAlignment="1">
      <alignment horizontal="left"/>
    </xf>
    <xf numFmtId="0" fontId="31" fillId="6" borderId="0" xfId="0" applyFont="1" applyFill="1" applyAlignment="1">
      <alignment horizontal="left" vertical="top" indent="1"/>
    </xf>
    <xf numFmtId="0" fontId="142" fillId="2" borderId="0" xfId="1" applyFont="1" applyFill="1" applyBorder="1" applyAlignment="1">
      <alignment horizontal="center"/>
    </xf>
    <xf numFmtId="0" fontId="211" fillId="7" borderId="8" xfId="1" applyFont="1" applyFill="1" applyBorder="1" applyAlignment="1">
      <alignment horizontal="left" vertical="center" indent="2"/>
    </xf>
    <xf numFmtId="0" fontId="211" fillId="7" borderId="2" xfId="1" applyFont="1" applyFill="1" applyBorder="1" applyAlignment="1">
      <alignment horizontal="left" vertical="center" indent="2"/>
    </xf>
    <xf numFmtId="0" fontId="211" fillId="7" borderId="79" xfId="1" applyFont="1" applyFill="1" applyBorder="1" applyAlignment="1">
      <alignment horizontal="left" vertical="center" indent="2"/>
    </xf>
    <xf numFmtId="0" fontId="211" fillId="7" borderId="136" xfId="1" applyFont="1" applyFill="1" applyBorder="1" applyAlignment="1">
      <alignment horizontal="left" vertical="center" indent="2"/>
    </xf>
    <xf numFmtId="0" fontId="44" fillId="6" borderId="0" xfId="0" applyFont="1" applyFill="1" applyAlignment="1">
      <alignment horizontal="left" vertical="center" indent="10"/>
    </xf>
    <xf numFmtId="0" fontId="44" fillId="6" borderId="0" xfId="0" applyFont="1" applyFill="1" applyAlignment="1">
      <alignment vertical="center"/>
    </xf>
    <xf numFmtId="0" fontId="33" fillId="10" borderId="0" xfId="0" applyFont="1" applyFill="1" applyAlignment="1" applyProtection="1">
      <alignment horizontal="center"/>
      <protection locked="0"/>
    </xf>
    <xf numFmtId="0" fontId="57" fillId="10" borderId="48" xfId="1" applyFont="1" applyFill="1" applyBorder="1" applyAlignment="1" applyProtection="1">
      <alignment horizontal="left" vertical="top" indent="2"/>
      <protection locked="0"/>
    </xf>
    <xf numFmtId="0" fontId="44" fillId="6" borderId="49" xfId="0" applyFont="1" applyFill="1" applyBorder="1" applyAlignment="1">
      <alignment horizontal="left" vertical="center" indent="5"/>
    </xf>
    <xf numFmtId="0" fontId="44" fillId="6" borderId="0" xfId="0" applyFont="1" applyFill="1" applyAlignment="1">
      <alignment horizontal="left" vertical="center" indent="5"/>
    </xf>
    <xf numFmtId="0" fontId="134" fillId="10" borderId="0" xfId="0" applyFont="1" applyFill="1" applyAlignment="1">
      <alignment horizontal="left"/>
    </xf>
    <xf numFmtId="0" fontId="210" fillId="6" borderId="0" xfId="0" applyFont="1" applyFill="1" applyAlignment="1">
      <alignment horizontal="right" vertical="center" indent="1"/>
    </xf>
    <xf numFmtId="0" fontId="210" fillId="6" borderId="79" xfId="0" applyFont="1" applyFill="1" applyBorder="1" applyAlignment="1">
      <alignment horizontal="right" vertical="center" indent="1"/>
    </xf>
    <xf numFmtId="10" fontId="39" fillId="6" borderId="0" xfId="0" applyNumberFormat="1" applyFont="1" applyFill="1" applyAlignment="1">
      <alignment horizontal="center" vertical="center"/>
    </xf>
    <xf numFmtId="10" fontId="39" fillId="6" borderId="40" xfId="0" applyNumberFormat="1" applyFont="1" applyFill="1" applyBorder="1" applyAlignment="1">
      <alignment horizontal="center" vertical="center"/>
    </xf>
    <xf numFmtId="0" fontId="40" fillId="6" borderId="34" xfId="0" applyFont="1" applyFill="1" applyBorder="1" applyAlignment="1">
      <alignment horizontal="center" vertical="center"/>
    </xf>
    <xf numFmtId="0" fontId="40" fillId="6" borderId="0" xfId="0" applyFont="1" applyFill="1" applyAlignment="1">
      <alignment horizontal="center" vertical="center"/>
    </xf>
    <xf numFmtId="0" fontId="51" fillId="6" borderId="0" xfId="0" applyFont="1" applyFill="1" applyAlignment="1">
      <alignment horizontal="left" vertical="center"/>
    </xf>
    <xf numFmtId="1" fontId="51" fillId="6" borderId="0" xfId="0" applyNumberFormat="1" applyFont="1" applyFill="1" applyAlignment="1">
      <alignment horizontal="left" vertical="center" indent="1"/>
    </xf>
    <xf numFmtId="3" fontId="31" fillId="6" borderId="67" xfId="0" applyNumberFormat="1" applyFont="1" applyFill="1" applyBorder="1" applyAlignment="1">
      <alignment horizontal="center"/>
    </xf>
    <xf numFmtId="3" fontId="31" fillId="6" borderId="0" xfId="0" applyNumberFormat="1" applyFont="1" applyFill="1" applyAlignment="1">
      <alignment horizontal="center"/>
    </xf>
    <xf numFmtId="0" fontId="109" fillId="2" borderId="0" xfId="0" applyFont="1" applyFill="1" applyAlignment="1">
      <alignment horizontal="left" vertical="center"/>
    </xf>
    <xf numFmtId="0" fontId="32" fillId="2" borderId="9" xfId="0" applyFont="1" applyFill="1" applyBorder="1" applyAlignment="1" applyProtection="1">
      <alignment horizontal="left" vertical="center" indent="1"/>
      <protection locked="0"/>
    </xf>
    <xf numFmtId="0" fontId="32" fillId="2" borderId="11" xfId="0" applyFont="1" applyFill="1" applyBorder="1" applyAlignment="1" applyProtection="1">
      <alignment horizontal="left" vertical="center" indent="1"/>
      <protection locked="0"/>
    </xf>
    <xf numFmtId="0" fontId="0" fillId="0" borderId="0" xfId="0" applyAlignment="1">
      <alignment horizontal="left" vertical="top" wrapText="1"/>
    </xf>
    <xf numFmtId="0" fontId="0" fillId="0" borderId="4" xfId="0" applyBorder="1" applyAlignment="1">
      <alignment horizontal="left" vertical="top" wrapText="1"/>
    </xf>
    <xf numFmtId="0" fontId="140" fillId="6" borderId="33" xfId="0" applyFont="1" applyFill="1" applyBorder="1" applyAlignment="1">
      <alignment horizontal="right" vertical="center" textRotation="76"/>
    </xf>
    <xf numFmtId="0" fontId="140" fillId="6" borderId="34" xfId="0" applyFont="1" applyFill="1" applyBorder="1" applyAlignment="1">
      <alignment horizontal="right" vertical="center" textRotation="76"/>
    </xf>
    <xf numFmtId="0" fontId="140" fillId="6" borderId="36" xfId="0" applyFont="1" applyFill="1" applyBorder="1" applyAlignment="1">
      <alignment horizontal="right" vertical="center" textRotation="76"/>
    </xf>
    <xf numFmtId="0" fontId="140" fillId="6" borderId="0" xfId="0" applyFont="1" applyFill="1" applyAlignment="1">
      <alignment horizontal="right" vertical="center" textRotation="76"/>
    </xf>
    <xf numFmtId="0" fontId="140" fillId="6" borderId="38" xfId="0" applyFont="1" applyFill="1" applyBorder="1" applyAlignment="1">
      <alignment horizontal="right" vertical="center" textRotation="76"/>
    </xf>
    <xf numFmtId="0" fontId="140" fillId="6" borderId="18" xfId="0" applyFont="1" applyFill="1" applyBorder="1" applyAlignment="1">
      <alignment horizontal="right" vertical="center" textRotation="76"/>
    </xf>
    <xf numFmtId="0" fontId="51" fillId="9" borderId="3" xfId="0" applyFont="1" applyFill="1" applyBorder="1" applyAlignment="1">
      <alignment horizontal="center" vertical="center"/>
    </xf>
    <xf numFmtId="0" fontId="51" fillId="9" borderId="0" xfId="0" applyFont="1" applyFill="1" applyAlignment="1">
      <alignment horizontal="center" vertical="center"/>
    </xf>
    <xf numFmtId="0" fontId="51" fillId="9" borderId="4" xfId="0" applyFont="1" applyFill="1" applyBorder="1" applyAlignment="1">
      <alignment horizontal="center" vertical="center"/>
    </xf>
    <xf numFmtId="0" fontId="51" fillId="9" borderId="1" xfId="0" applyFont="1" applyFill="1" applyBorder="1" applyAlignment="1">
      <alignment horizontal="center" vertical="center"/>
    </xf>
    <xf numFmtId="0" fontId="51" fillId="9" borderId="8" xfId="0" applyFont="1" applyFill="1" applyBorder="1" applyAlignment="1">
      <alignment horizontal="center" vertical="center"/>
    </xf>
    <xf numFmtId="0" fontId="51" fillId="9" borderId="2" xfId="0" applyFont="1" applyFill="1" applyBorder="1" applyAlignment="1">
      <alignment horizontal="center" vertical="center"/>
    </xf>
    <xf numFmtId="1" fontId="51" fillId="6" borderId="34" xfId="0" applyNumberFormat="1" applyFont="1" applyFill="1" applyBorder="1" applyAlignment="1">
      <alignment horizontal="left" vertical="center" indent="1"/>
    </xf>
    <xf numFmtId="0" fontId="31" fillId="6" borderId="0" xfId="0" applyFont="1" applyFill="1" applyAlignment="1">
      <alignment horizontal="left" indent="6"/>
    </xf>
    <xf numFmtId="0" fontId="38" fillId="9" borderId="0" xfId="0" quotePrefix="1" applyFont="1" applyFill="1" applyAlignment="1">
      <alignment horizontal="left" vertical="center" wrapText="1" indent="8"/>
    </xf>
    <xf numFmtId="0" fontId="38" fillId="9" borderId="48" xfId="0" quotePrefix="1" applyFont="1" applyFill="1" applyBorder="1" applyAlignment="1">
      <alignment horizontal="left" vertical="center" wrapText="1" indent="8"/>
    </xf>
    <xf numFmtId="0" fontId="51" fillId="6" borderId="34" xfId="0" applyFont="1" applyFill="1" applyBorder="1" applyAlignment="1">
      <alignment horizontal="left" vertical="center"/>
    </xf>
    <xf numFmtId="0" fontId="135" fillId="9" borderId="0" xfId="0" applyFont="1" applyFill="1" applyAlignment="1">
      <alignment horizontal="left"/>
    </xf>
    <xf numFmtId="9" fontId="208" fillId="0" borderId="4" xfId="0" applyNumberFormat="1" applyFont="1" applyBorder="1" applyAlignment="1">
      <alignment horizontal="right" vertical="center"/>
    </xf>
    <xf numFmtId="0" fontId="135" fillId="9" borderId="0" xfId="0" applyFont="1" applyFill="1" applyAlignment="1">
      <alignment horizontal="left" vertical="center"/>
    </xf>
    <xf numFmtId="0" fontId="135" fillId="9" borderId="48" xfId="0" applyFont="1" applyFill="1" applyBorder="1" applyAlignment="1">
      <alignment horizontal="left" vertical="center"/>
    </xf>
    <xf numFmtId="0" fontId="77" fillId="2" borderId="8" xfId="0" applyFont="1" applyFill="1" applyBorder="1" applyAlignment="1">
      <alignment horizontal="left" vertical="center" indent="2"/>
    </xf>
    <xf numFmtId="0" fontId="77" fillId="2" borderId="0" xfId="0" applyFont="1" applyFill="1" applyAlignment="1">
      <alignment horizontal="left" vertical="center" indent="2"/>
    </xf>
    <xf numFmtId="10" fontId="32" fillId="0" borderId="14" xfId="0" applyNumberFormat="1" applyFont="1" applyBorder="1" applyAlignment="1">
      <alignment horizontal="right" vertical="center"/>
    </xf>
    <xf numFmtId="0" fontId="52" fillId="9" borderId="3" xfId="0" applyFont="1" applyFill="1" applyBorder="1" applyAlignment="1">
      <alignment horizontal="center" vertical="center"/>
    </xf>
    <xf numFmtId="0" fontId="52" fillId="9" borderId="0" xfId="0" applyFont="1" applyFill="1" applyAlignment="1">
      <alignment horizontal="center" vertical="center"/>
    </xf>
    <xf numFmtId="0" fontId="52" fillId="9" borderId="4" xfId="0" applyFont="1" applyFill="1" applyBorder="1" applyAlignment="1">
      <alignment horizontal="center" vertical="center"/>
    </xf>
    <xf numFmtId="0" fontId="52" fillId="9" borderId="1" xfId="0" applyFont="1" applyFill="1" applyBorder="1" applyAlignment="1">
      <alignment horizontal="center" vertical="center"/>
    </xf>
    <xf numFmtId="0" fontId="52" fillId="9" borderId="8" xfId="0" applyFont="1" applyFill="1" applyBorder="1" applyAlignment="1">
      <alignment horizontal="center" vertical="center"/>
    </xf>
    <xf numFmtId="0" fontId="52" fillId="9" borderId="2" xfId="0" applyFont="1" applyFill="1" applyBorder="1" applyAlignment="1">
      <alignment horizontal="center" vertical="center"/>
    </xf>
    <xf numFmtId="188" fontId="42" fillId="3" borderId="0" xfId="0" applyNumberFormat="1" applyFont="1" applyFill="1" applyAlignment="1">
      <alignment horizontal="center" vertical="center"/>
    </xf>
    <xf numFmtId="0" fontId="193" fillId="6" borderId="49" xfId="0" applyFont="1" applyFill="1" applyBorder="1" applyAlignment="1">
      <alignment horizontal="center" vertical="center"/>
    </xf>
    <xf numFmtId="0" fontId="193" fillId="6" borderId="0" xfId="0" applyFont="1" applyFill="1" applyAlignment="1">
      <alignment horizontal="center" vertical="center"/>
    </xf>
    <xf numFmtId="9" fontId="51" fillId="6" borderId="0" xfId="0" applyNumberFormat="1" applyFont="1" applyFill="1" applyAlignment="1">
      <alignment horizontal="left" indent="1"/>
    </xf>
    <xf numFmtId="9" fontId="38" fillId="6" borderId="0" xfId="0" applyNumberFormat="1" applyFont="1" applyFill="1" applyAlignment="1">
      <alignment horizontal="left" indent="1"/>
    </xf>
    <xf numFmtId="0" fontId="65" fillId="6" borderId="0" xfId="0" applyFont="1" applyFill="1" applyAlignment="1">
      <alignment horizontal="left" vertical="center" indent="1"/>
    </xf>
    <xf numFmtId="0" fontId="2" fillId="0" borderId="0" xfId="0" applyFont="1" applyAlignment="1">
      <alignment horizontal="left" vertical="center"/>
    </xf>
    <xf numFmtId="0" fontId="129" fillId="0" borderId="0" xfId="0" applyFont="1" applyAlignment="1">
      <alignment horizontal="center"/>
    </xf>
    <xf numFmtId="9" fontId="172" fillId="6" borderId="0" xfId="0" applyNumberFormat="1" applyFont="1" applyFill="1" applyAlignment="1">
      <alignment horizontal="left" vertical="center"/>
    </xf>
    <xf numFmtId="0" fontId="109" fillId="2" borderId="0" xfId="0" applyFont="1" applyFill="1" applyAlignment="1">
      <alignment horizontal="left"/>
    </xf>
    <xf numFmtId="0" fontId="31" fillId="6" borderId="0" xfId="0" applyFont="1" applyFill="1" applyAlignment="1">
      <alignment horizontal="left" vertical="center" indent="1"/>
    </xf>
    <xf numFmtId="0" fontId="31" fillId="6" borderId="0" xfId="0" applyFont="1" applyFill="1" applyAlignment="1">
      <alignment horizontal="left" vertical="center"/>
    </xf>
    <xf numFmtId="3" fontId="31" fillId="6" borderId="44" xfId="0" applyNumberFormat="1" applyFont="1" applyFill="1" applyBorder="1" applyAlignment="1">
      <alignment horizontal="center" vertical="center"/>
    </xf>
    <xf numFmtId="3" fontId="31" fillId="6" borderId="0" xfId="0" applyNumberFormat="1" applyFont="1" applyFill="1" applyAlignment="1">
      <alignment horizontal="center" vertical="center"/>
    </xf>
    <xf numFmtId="0" fontId="136" fillId="9" borderId="0" xfId="0" applyFont="1" applyFill="1" applyAlignment="1">
      <alignment horizontal="left" vertical="center"/>
    </xf>
    <xf numFmtId="1" fontId="64" fillId="6" borderId="0" xfId="0" applyNumberFormat="1" applyFont="1" applyFill="1" applyAlignment="1">
      <alignment horizontal="center" vertical="center"/>
    </xf>
    <xf numFmtId="1" fontId="64" fillId="6" borderId="147" xfId="0" applyNumberFormat="1" applyFont="1" applyFill="1" applyBorder="1" applyAlignment="1">
      <alignment horizontal="center" vertical="center"/>
    </xf>
    <xf numFmtId="0" fontId="64" fillId="6" borderId="0" xfId="0" applyFont="1" applyFill="1" applyAlignment="1">
      <alignment horizontal="center"/>
    </xf>
    <xf numFmtId="0" fontId="64" fillId="6" borderId="147" xfId="0" applyFont="1" applyFill="1" applyBorder="1" applyAlignment="1">
      <alignment horizontal="center"/>
    </xf>
    <xf numFmtId="0" fontId="6" fillId="6" borderId="0" xfId="0" applyFont="1" applyFill="1" applyAlignment="1">
      <alignment horizontal="center"/>
    </xf>
    <xf numFmtId="0" fontId="6" fillId="6" borderId="147" xfId="0" applyFont="1" applyFill="1" applyBorder="1" applyAlignment="1">
      <alignment horizontal="center"/>
    </xf>
    <xf numFmtId="170" fontId="39" fillId="6" borderId="0" xfId="0" applyNumberFormat="1" applyFont="1" applyFill="1" applyAlignment="1">
      <alignment horizontal="center"/>
    </xf>
    <xf numFmtId="2" fontId="6" fillId="6" borderId="0" xfId="0" applyNumberFormat="1" applyFont="1" applyFill="1" applyAlignment="1">
      <alignment horizontal="center" vertical="center"/>
    </xf>
    <xf numFmtId="2" fontId="6" fillId="6" borderId="147" xfId="0" applyNumberFormat="1" applyFont="1" applyFill="1" applyBorder="1" applyAlignment="1">
      <alignment horizontal="center" vertical="center"/>
    </xf>
    <xf numFmtId="2" fontId="6" fillId="6" borderId="0" xfId="0" applyNumberFormat="1" applyFont="1" applyFill="1" applyAlignment="1">
      <alignment horizontal="center"/>
    </xf>
    <xf numFmtId="10" fontId="39" fillId="6" borderId="0" xfId="4" applyNumberFormat="1" applyFont="1" applyFill="1" applyAlignment="1">
      <alignment horizontal="center"/>
    </xf>
    <xf numFmtId="10" fontId="39" fillId="6" borderId="147" xfId="4" applyNumberFormat="1" applyFont="1" applyFill="1" applyBorder="1" applyAlignment="1">
      <alignment horizontal="center"/>
    </xf>
    <xf numFmtId="0" fontId="64" fillId="6" borderId="147" xfId="0" applyFont="1" applyFill="1" applyBorder="1" applyAlignment="1">
      <alignment horizontal="center" vertical="center"/>
    </xf>
    <xf numFmtId="188" fontId="42" fillId="3" borderId="0" xfId="0" applyNumberFormat="1" applyFont="1" applyFill="1" applyAlignment="1">
      <alignment horizontal="center" vertical="top"/>
    </xf>
    <xf numFmtId="189" fontId="90" fillId="2" borderId="7" xfId="0" applyNumberFormat="1" applyFont="1" applyFill="1" applyBorder="1" applyAlignment="1">
      <alignment horizontal="center"/>
    </xf>
    <xf numFmtId="0" fontId="11" fillId="2" borderId="0" xfId="0" applyFont="1" applyFill="1" applyAlignment="1" applyProtection="1">
      <alignment horizontal="left" vertical="center" indent="1"/>
      <protection locked="0"/>
    </xf>
    <xf numFmtId="0" fontId="37" fillId="6" borderId="0" xfId="0" applyFont="1" applyFill="1" applyAlignment="1">
      <alignment horizontal="center" vertical="center"/>
    </xf>
    <xf numFmtId="0" fontId="109" fillId="2" borderId="8" xfId="0" applyFont="1" applyFill="1" applyBorder="1" applyAlignment="1">
      <alignment horizontal="left" vertical="center"/>
    </xf>
    <xf numFmtId="168" fontId="130" fillId="2" borderId="7" xfId="0" applyNumberFormat="1" applyFont="1" applyFill="1" applyBorder="1" applyAlignment="1">
      <alignment horizontal="center"/>
    </xf>
    <xf numFmtId="0" fontId="40" fillId="6" borderId="0" xfId="0" applyFont="1" applyFill="1" applyAlignment="1">
      <alignment horizontal="left" vertical="center"/>
    </xf>
    <xf numFmtId="168" fontId="159" fillId="2" borderId="7" xfId="0" applyNumberFormat="1" applyFont="1" applyFill="1" applyBorder="1" applyAlignment="1">
      <alignment horizontal="left"/>
    </xf>
    <xf numFmtId="0" fontId="11" fillId="2" borderId="7" xfId="0" applyFont="1" applyFill="1" applyBorder="1" applyAlignment="1">
      <alignment horizontal="center"/>
    </xf>
    <xf numFmtId="0" fontId="136" fillId="9" borderId="0" xfId="0" applyFont="1" applyFill="1" applyAlignment="1">
      <alignment horizontal="left"/>
    </xf>
    <xf numFmtId="0" fontId="109" fillId="2" borderId="8" xfId="0" applyFont="1" applyFill="1" applyBorder="1" applyAlignment="1">
      <alignment horizontal="left"/>
    </xf>
    <xf numFmtId="168" fontId="51" fillId="6" borderId="0" xfId="0" applyNumberFormat="1" applyFont="1" applyFill="1" applyAlignment="1">
      <alignment horizontal="center" vertical="center"/>
    </xf>
    <xf numFmtId="0" fontId="185" fillId="9" borderId="48" xfId="1" applyFont="1" applyFill="1" applyBorder="1" applyAlignment="1">
      <alignment horizontal="left" vertical="top"/>
    </xf>
    <xf numFmtId="0" fontId="35" fillId="6" borderId="49" xfId="0" applyFont="1" applyFill="1" applyBorder="1" applyAlignment="1">
      <alignment horizontal="left" vertical="center" indent="4"/>
    </xf>
    <xf numFmtId="0" fontId="35" fillId="6" borderId="137" xfId="0" applyFont="1" applyFill="1" applyBorder="1" applyAlignment="1">
      <alignment horizontal="left" vertical="center" indent="4"/>
    </xf>
    <xf numFmtId="0" fontId="35" fillId="6" borderId="0" xfId="0" applyFont="1" applyFill="1" applyAlignment="1">
      <alignment horizontal="left" vertical="center" indent="4"/>
    </xf>
    <xf numFmtId="0" fontId="35" fillId="6" borderId="40" xfId="0" applyFont="1" applyFill="1" applyBorder="1" applyAlignment="1">
      <alignment horizontal="left" vertical="center" indent="4"/>
    </xf>
    <xf numFmtId="0" fontId="0" fillId="3" borderId="1" xfId="0" applyFill="1" applyBorder="1" applyAlignment="1">
      <alignment horizontal="left" vertical="top" wrapText="1" indent="1"/>
    </xf>
    <xf numFmtId="0" fontId="0" fillId="3" borderId="8" xfId="0" applyFill="1" applyBorder="1" applyAlignment="1">
      <alignment horizontal="left" vertical="top" wrapText="1" indent="1"/>
    </xf>
    <xf numFmtId="0" fontId="0" fillId="3" borderId="2" xfId="0" applyFill="1" applyBorder="1" applyAlignment="1">
      <alignment horizontal="left" vertical="top" wrapText="1" indent="1"/>
    </xf>
    <xf numFmtId="0" fontId="135" fillId="9" borderId="0" xfId="0" applyFont="1" applyFill="1" applyAlignment="1">
      <alignment horizontal="left" vertical="top"/>
    </xf>
    <xf numFmtId="0" fontId="109" fillId="2" borderId="0" xfId="0" applyFont="1" applyFill="1" applyAlignment="1">
      <alignment horizontal="left" vertical="top"/>
    </xf>
    <xf numFmtId="9" fontId="208" fillId="2" borderId="4" xfId="4" applyFont="1" applyFill="1" applyBorder="1" applyAlignment="1">
      <alignment horizontal="right" vertical="center"/>
    </xf>
    <xf numFmtId="0" fontId="204" fillId="3" borderId="9" xfId="0" applyFont="1" applyFill="1" applyBorder="1" applyAlignment="1">
      <alignment horizontal="left" vertical="center" wrapText="1" indent="1"/>
    </xf>
    <xf numFmtId="0" fontId="204" fillId="3" borderId="11" xfId="0" applyFont="1" applyFill="1" applyBorder="1" applyAlignment="1">
      <alignment horizontal="left" vertical="center" wrapText="1" indent="1"/>
    </xf>
    <xf numFmtId="0" fontId="203" fillId="9" borderId="48" xfId="1" applyFont="1" applyFill="1" applyBorder="1" applyAlignment="1">
      <alignment horizontal="left" vertical="top"/>
    </xf>
    <xf numFmtId="0" fontId="35" fillId="6" borderId="49" xfId="0" applyFont="1" applyFill="1" applyBorder="1" applyAlignment="1">
      <alignment horizontal="left" vertical="center" indent="5"/>
    </xf>
    <xf numFmtId="0" fontId="35" fillId="6" borderId="137" xfId="0" applyFont="1" applyFill="1" applyBorder="1" applyAlignment="1">
      <alignment horizontal="left" vertical="center" indent="5"/>
    </xf>
    <xf numFmtId="0" fontId="35" fillId="6" borderId="0" xfId="0" applyFont="1" applyFill="1" applyAlignment="1">
      <alignment horizontal="left" vertical="center" indent="5"/>
    </xf>
    <xf numFmtId="0" fontId="35" fillId="6" borderId="40" xfId="0" applyFont="1" applyFill="1" applyBorder="1" applyAlignment="1">
      <alignment horizontal="left" vertical="center" indent="5"/>
    </xf>
    <xf numFmtId="0" fontId="27" fillId="11" borderId="34" xfId="0" applyFont="1" applyFill="1" applyBorder="1" applyAlignment="1">
      <alignment horizontal="center" vertical="center"/>
    </xf>
    <xf numFmtId="0" fontId="27" fillId="11" borderId="0" xfId="0" applyFont="1" applyFill="1" applyAlignment="1">
      <alignment horizontal="center" vertical="center"/>
    </xf>
    <xf numFmtId="0" fontId="146" fillId="2" borderId="0" xfId="0" applyFont="1" applyFill="1" applyAlignment="1">
      <alignment horizontal="left"/>
    </xf>
    <xf numFmtId="0" fontId="58" fillId="11" borderId="20" xfId="0" applyFont="1" applyFill="1" applyBorder="1" applyAlignment="1">
      <alignment horizontal="center" vertical="center"/>
    </xf>
    <xf numFmtId="0" fontId="58" fillId="11" borderId="21" xfId="0" applyFont="1" applyFill="1" applyBorder="1" applyAlignment="1">
      <alignment horizontal="center" vertical="center"/>
    </xf>
    <xf numFmtId="0" fontId="58" fillId="11" borderId="22" xfId="0" applyFont="1" applyFill="1" applyBorder="1" applyAlignment="1">
      <alignment horizontal="center" vertical="center"/>
    </xf>
    <xf numFmtId="9" fontId="72" fillId="11" borderId="0" xfId="0" applyNumberFormat="1" applyFont="1" applyFill="1" applyAlignment="1">
      <alignment horizontal="left" vertical="center"/>
    </xf>
    <xf numFmtId="0" fontId="31" fillId="11" borderId="24" xfId="0" applyFont="1" applyFill="1" applyBorder="1" applyAlignment="1">
      <alignment horizontal="left" indent="1"/>
    </xf>
    <xf numFmtId="0" fontId="11" fillId="2" borderId="103" xfId="0" applyFont="1" applyFill="1" applyBorder="1" applyAlignment="1" applyProtection="1">
      <alignment horizontal="left" vertical="center" indent="1"/>
      <protection locked="0"/>
    </xf>
    <xf numFmtId="168" fontId="130" fillId="2" borderId="7" xfId="0" applyNumberFormat="1" applyFont="1" applyFill="1" applyBorder="1" applyAlignment="1">
      <alignment horizontal="center" vertical="center"/>
    </xf>
    <xf numFmtId="0" fontId="65" fillId="11" borderId="0" xfId="0" applyFont="1" applyFill="1" applyAlignment="1">
      <alignment horizontal="left" vertical="center" indent="1"/>
    </xf>
    <xf numFmtId="188" fontId="42" fillId="3" borderId="0" xfId="0" applyNumberFormat="1" applyFont="1" applyFill="1" applyAlignment="1">
      <alignment horizontal="left" vertical="center" indent="3"/>
    </xf>
    <xf numFmtId="190" fontId="90" fillId="2" borderId="7" xfId="0" applyNumberFormat="1" applyFont="1" applyFill="1" applyBorder="1" applyAlignment="1">
      <alignment horizontal="center"/>
    </xf>
    <xf numFmtId="0" fontId="193" fillId="11" borderId="144" xfId="0" applyFont="1" applyFill="1" applyBorder="1" applyAlignment="1">
      <alignment horizontal="center" vertical="center"/>
    </xf>
    <xf numFmtId="0" fontId="193" fillId="11" borderId="49" xfId="0" applyFont="1" applyFill="1" applyBorder="1" applyAlignment="1">
      <alignment horizontal="center" vertical="center"/>
    </xf>
    <xf numFmtId="0" fontId="193" fillId="11" borderId="23" xfId="0" applyFont="1" applyFill="1" applyBorder="1" applyAlignment="1">
      <alignment horizontal="center" vertical="center"/>
    </xf>
    <xf numFmtId="0" fontId="193" fillId="11" borderId="0" xfId="0" applyFont="1" applyFill="1" applyAlignment="1">
      <alignment horizontal="center" vertical="center"/>
    </xf>
    <xf numFmtId="9" fontId="51" fillId="11" borderId="0" xfId="0" applyNumberFormat="1" applyFont="1" applyFill="1" applyAlignment="1">
      <alignment horizontal="left" indent="1"/>
    </xf>
    <xf numFmtId="9" fontId="38" fillId="11" borderId="0" xfId="0" applyNumberFormat="1" applyFont="1" applyFill="1" applyAlignment="1">
      <alignment horizontal="left" indent="1"/>
    </xf>
    <xf numFmtId="0" fontId="52" fillId="9" borderId="3" xfId="0" applyFont="1" applyFill="1" applyBorder="1" applyAlignment="1">
      <alignment horizontal="center" vertical="top"/>
    </xf>
    <xf numFmtId="0" fontId="52" fillId="9" borderId="0" xfId="0" applyFont="1" applyFill="1" applyAlignment="1">
      <alignment horizontal="center" vertical="top"/>
    </xf>
    <xf numFmtId="0" fontId="52" fillId="9" borderId="4" xfId="0" applyFont="1" applyFill="1" applyBorder="1" applyAlignment="1">
      <alignment horizontal="center" vertical="top"/>
    </xf>
    <xf numFmtId="0" fontId="150" fillId="2" borderId="0" xfId="0" applyFont="1" applyFill="1" applyAlignment="1">
      <alignment horizontal="left" vertical="center" indent="1"/>
    </xf>
    <xf numFmtId="2" fontId="6" fillId="11" borderId="0" xfId="0" applyNumberFormat="1" applyFont="1" applyFill="1" applyAlignment="1">
      <alignment horizontal="center"/>
    </xf>
    <xf numFmtId="2" fontId="6" fillId="11" borderId="24" xfId="0" applyNumberFormat="1" applyFont="1" applyFill="1" applyBorder="1" applyAlignment="1">
      <alignment horizontal="center"/>
    </xf>
    <xf numFmtId="170" fontId="39" fillId="11" borderId="0" xfId="0" applyNumberFormat="1" applyFont="1" applyFill="1" applyAlignment="1">
      <alignment horizontal="center"/>
    </xf>
    <xf numFmtId="0" fontId="31" fillId="11" borderId="0" xfId="0" applyFont="1" applyFill="1" applyAlignment="1">
      <alignment horizontal="left" vertical="center" indent="3"/>
    </xf>
    <xf numFmtId="3" fontId="31" fillId="11" borderId="44" xfId="0" applyNumberFormat="1" applyFont="1" applyFill="1" applyBorder="1" applyAlignment="1">
      <alignment horizontal="center" vertical="center"/>
    </xf>
    <xf numFmtId="3" fontId="31" fillId="11" borderId="0" xfId="0" applyNumberFormat="1" applyFont="1" applyFill="1" applyAlignment="1">
      <alignment horizontal="center" vertical="center"/>
    </xf>
    <xf numFmtId="0" fontId="28" fillId="11" borderId="24" xfId="0" applyFont="1" applyFill="1" applyBorder="1" applyAlignment="1">
      <alignment horizontal="left" vertical="center" indent="1"/>
    </xf>
    <xf numFmtId="10" fontId="39" fillId="11" borderId="0" xfId="4" applyNumberFormat="1" applyFont="1" applyFill="1" applyAlignment="1">
      <alignment horizontal="center" vertical="center"/>
    </xf>
    <xf numFmtId="10" fontId="39" fillId="11" borderId="24" xfId="4" applyNumberFormat="1" applyFont="1" applyFill="1" applyBorder="1" applyAlignment="1">
      <alignment horizontal="center" vertical="center"/>
    </xf>
    <xf numFmtId="0" fontId="40" fillId="11" borderId="34" xfId="0" applyFont="1" applyFill="1" applyBorder="1" applyAlignment="1">
      <alignment horizontal="center" vertical="center"/>
    </xf>
    <xf numFmtId="0" fontId="40" fillId="11" borderId="0" xfId="0" applyFont="1" applyFill="1" applyAlignment="1">
      <alignment horizontal="center" vertical="center"/>
    </xf>
    <xf numFmtId="0" fontId="130" fillId="0" borderId="7" xfId="0" applyFont="1" applyBorder="1" applyAlignment="1">
      <alignment horizontal="center"/>
    </xf>
    <xf numFmtId="0" fontId="130" fillId="0" borderId="7" xfId="0" applyFont="1" applyBorder="1" applyAlignment="1">
      <alignment horizontal="right"/>
    </xf>
    <xf numFmtId="0" fontId="31" fillId="11" borderId="66" xfId="0" applyFont="1" applyFill="1" applyBorder="1" applyAlignment="1">
      <alignment horizontal="left" vertical="center" indent="1"/>
    </xf>
    <xf numFmtId="0" fontId="31" fillId="11" borderId="101" xfId="0" applyFont="1" applyFill="1" applyBorder="1" applyAlignment="1">
      <alignment horizontal="center" vertical="center"/>
    </xf>
    <xf numFmtId="0" fontId="31" fillId="11" borderId="0" xfId="0" applyFont="1" applyFill="1" applyAlignment="1">
      <alignment horizontal="center" vertical="center"/>
    </xf>
    <xf numFmtId="0" fontId="40" fillId="11" borderId="0" xfId="0" applyFont="1" applyFill="1" applyAlignment="1">
      <alignment horizontal="left" vertical="center"/>
    </xf>
    <xf numFmtId="0" fontId="52" fillId="9" borderId="151" xfId="0" applyFont="1" applyFill="1" applyBorder="1" applyAlignment="1">
      <alignment horizontal="center" vertical="center"/>
    </xf>
    <xf numFmtId="0" fontId="52" fillId="9" borderId="30" xfId="0" applyFont="1" applyFill="1" applyBorder="1" applyAlignment="1">
      <alignment horizontal="center" vertical="center"/>
    </xf>
    <xf numFmtId="0" fontId="52" fillId="9" borderId="152" xfId="0" applyFont="1" applyFill="1" applyBorder="1" applyAlignment="1">
      <alignment horizontal="center" vertical="center"/>
    </xf>
    <xf numFmtId="0" fontId="87" fillId="9" borderId="151" xfId="0" applyFont="1" applyFill="1" applyBorder="1" applyAlignment="1">
      <alignment horizontal="center" vertical="center"/>
    </xf>
    <xf numFmtId="0" fontId="87" fillId="9" borderId="30" xfId="0" applyFont="1" applyFill="1" applyBorder="1" applyAlignment="1">
      <alignment horizontal="center" vertical="center"/>
    </xf>
    <xf numFmtId="0" fontId="87" fillId="9" borderId="152" xfId="0" applyFont="1" applyFill="1" applyBorder="1" applyAlignment="1">
      <alignment horizontal="center" vertical="center"/>
    </xf>
    <xf numFmtId="0" fontId="87" fillId="9" borderId="1" xfId="0" applyFont="1" applyFill="1" applyBorder="1" applyAlignment="1">
      <alignment horizontal="center" vertical="center"/>
    </xf>
    <xf numFmtId="0" fontId="87" fillId="9" borderId="8" xfId="0" applyFont="1" applyFill="1" applyBorder="1" applyAlignment="1">
      <alignment horizontal="center" vertical="center"/>
    </xf>
    <xf numFmtId="0" fontId="87" fillId="9" borderId="2" xfId="0" applyFont="1" applyFill="1" applyBorder="1" applyAlignment="1">
      <alignment horizontal="center" vertical="center"/>
    </xf>
    <xf numFmtId="10" fontId="39" fillId="11" borderId="0" xfId="4" applyNumberFormat="1" applyFont="1" applyFill="1" applyAlignment="1">
      <alignment horizontal="center"/>
    </xf>
    <xf numFmtId="0" fontId="28" fillId="11" borderId="0" xfId="0" applyFont="1" applyFill="1" applyAlignment="1">
      <alignment horizontal="left" vertical="center" indent="1"/>
    </xf>
    <xf numFmtId="0" fontId="52" fillId="9" borderId="5" xfId="0" applyFont="1" applyFill="1" applyBorder="1" applyAlignment="1">
      <alignment horizontal="center" vertical="center"/>
    </xf>
    <xf numFmtId="0" fontId="52" fillId="9" borderId="7" xfId="0" applyFont="1" applyFill="1" applyBorder="1" applyAlignment="1">
      <alignment horizontal="center" vertical="center"/>
    </xf>
    <xf numFmtId="0" fontId="52" fillId="9" borderId="6" xfId="0" applyFont="1" applyFill="1" applyBorder="1" applyAlignment="1">
      <alignment horizontal="center" vertical="center"/>
    </xf>
    <xf numFmtId="0" fontId="158" fillId="2" borderId="5" xfId="0" applyFont="1" applyFill="1" applyBorder="1" applyAlignment="1">
      <alignment horizontal="right"/>
    </xf>
    <xf numFmtId="0" fontId="158" fillId="2" borderId="7" xfId="0" applyFont="1" applyFill="1" applyBorder="1" applyAlignment="1">
      <alignment horizontal="right"/>
    </xf>
    <xf numFmtId="0" fontId="130" fillId="2" borderId="7" xfId="0" applyFont="1" applyFill="1" applyBorder="1" applyAlignment="1">
      <alignment horizontal="center"/>
    </xf>
    <xf numFmtId="188" fontId="90" fillId="2" borderId="7" xfId="0" applyNumberFormat="1" applyFont="1" applyFill="1" applyBorder="1" applyAlignment="1">
      <alignment horizontal="right"/>
    </xf>
    <xf numFmtId="188" fontId="90" fillId="2" borderId="7" xfId="0" applyNumberFormat="1" applyFont="1" applyFill="1" applyBorder="1" applyAlignment="1">
      <alignment horizontal="right" vertical="center"/>
    </xf>
    <xf numFmtId="170" fontId="51" fillId="11" borderId="0" xfId="0" applyNumberFormat="1" applyFont="1" applyFill="1" applyAlignment="1">
      <alignment horizontal="left" vertical="center"/>
    </xf>
    <xf numFmtId="0" fontId="150" fillId="2" borderId="0" xfId="0" applyFont="1" applyFill="1" applyAlignment="1">
      <alignment horizontal="left" indent="1"/>
    </xf>
    <xf numFmtId="1" fontId="28" fillId="11" borderId="0" xfId="0" applyNumberFormat="1" applyFont="1" applyFill="1" applyAlignment="1">
      <alignment horizontal="center" vertical="center"/>
    </xf>
    <xf numFmtId="0" fontId="28" fillId="11" borderId="24" xfId="0" applyFont="1" applyFill="1" applyBorder="1" applyAlignment="1">
      <alignment horizontal="center" vertical="center"/>
    </xf>
    <xf numFmtId="1" fontId="28" fillId="11" borderId="24" xfId="0" applyNumberFormat="1" applyFont="1" applyFill="1" applyBorder="1" applyAlignment="1">
      <alignment horizontal="center" vertical="center"/>
    </xf>
    <xf numFmtId="10" fontId="39" fillId="11" borderId="0" xfId="4" applyNumberFormat="1" applyFont="1" applyFill="1" applyAlignment="1">
      <alignment horizontal="left" vertical="center" indent="2"/>
    </xf>
    <xf numFmtId="168" fontId="130" fillId="2" borderId="7" xfId="0" applyNumberFormat="1" applyFont="1" applyFill="1" applyBorder="1" applyAlignment="1">
      <alignment horizontal="left"/>
    </xf>
    <xf numFmtId="0" fontId="150" fillId="2" borderId="0" xfId="0" applyFont="1" applyFill="1" applyAlignment="1">
      <alignment horizontal="left" vertical="center"/>
    </xf>
    <xf numFmtId="0" fontId="28" fillId="11" borderId="0" xfId="0" applyFont="1" applyFill="1" applyAlignment="1">
      <alignment horizontal="center" vertical="top" wrapText="1"/>
    </xf>
    <xf numFmtId="165" fontId="64" fillId="11" borderId="0" xfId="0" applyNumberFormat="1" applyFont="1" applyFill="1" applyAlignment="1">
      <alignment horizontal="center"/>
    </xf>
    <xf numFmtId="165" fontId="64" fillId="11" borderId="24" xfId="0" applyNumberFormat="1" applyFont="1" applyFill="1" applyBorder="1" applyAlignment="1">
      <alignment horizontal="center"/>
    </xf>
    <xf numFmtId="0" fontId="64" fillId="11" borderId="0" xfId="0" applyFont="1" applyFill="1" applyAlignment="1">
      <alignment horizontal="center"/>
    </xf>
    <xf numFmtId="0" fontId="64" fillId="11" borderId="24" xfId="0" applyFont="1" applyFill="1" applyBorder="1" applyAlignment="1">
      <alignment horizontal="center"/>
    </xf>
    <xf numFmtId="3" fontId="35" fillId="11" borderId="21" xfId="0" applyNumberFormat="1" applyFont="1" applyFill="1" applyBorder="1" applyAlignment="1">
      <alignment horizontal="center" vertical="center" wrapText="1"/>
    </xf>
    <xf numFmtId="3" fontId="35" fillId="11" borderId="0" xfId="0" applyNumberFormat="1" applyFont="1" applyFill="1" applyAlignment="1">
      <alignment horizontal="center" vertical="center" wrapText="1"/>
    </xf>
    <xf numFmtId="10" fontId="52" fillId="11" borderId="0" xfId="4" applyNumberFormat="1" applyFont="1" applyFill="1" applyAlignment="1">
      <alignment horizontal="center" vertical="center" wrapText="1"/>
    </xf>
    <xf numFmtId="10" fontId="52" fillId="11" borderId="104" xfId="4" applyNumberFormat="1" applyFont="1" applyFill="1" applyBorder="1" applyAlignment="1">
      <alignment horizontal="center" vertical="center" wrapText="1"/>
    </xf>
    <xf numFmtId="0" fontId="10" fillId="2" borderId="8" xfId="0" applyFont="1" applyFill="1" applyBorder="1" applyAlignment="1">
      <alignment horizontal="center" vertical="top"/>
    </xf>
    <xf numFmtId="0" fontId="51" fillId="9" borderId="1" xfId="0" applyFont="1" applyFill="1" applyBorder="1" applyAlignment="1">
      <alignment horizontal="center"/>
    </xf>
    <xf numFmtId="0" fontId="51" fillId="9" borderId="8" xfId="0" applyFont="1" applyFill="1" applyBorder="1" applyAlignment="1">
      <alignment horizontal="center"/>
    </xf>
    <xf numFmtId="0" fontId="51" fillId="9" borderId="2" xfId="0" applyFont="1" applyFill="1" applyBorder="1" applyAlignment="1">
      <alignment horizontal="center"/>
    </xf>
    <xf numFmtId="0" fontId="51" fillId="9" borderId="5" xfId="0" applyFont="1" applyFill="1" applyBorder="1" applyAlignment="1">
      <alignment horizontal="center" vertical="center"/>
    </xf>
    <xf numFmtId="0" fontId="51" fillId="9" borderId="7" xfId="0" applyFont="1" applyFill="1" applyBorder="1" applyAlignment="1">
      <alignment horizontal="center" vertical="center"/>
    </xf>
    <xf numFmtId="0" fontId="51" fillId="9" borderId="6" xfId="0" applyFont="1" applyFill="1" applyBorder="1" applyAlignment="1">
      <alignment horizontal="center" vertical="center"/>
    </xf>
    <xf numFmtId="0" fontId="109" fillId="0" borderId="8" xfId="0" applyFont="1" applyBorder="1" applyAlignment="1">
      <alignment horizontal="left" vertical="center"/>
    </xf>
    <xf numFmtId="0" fontId="109" fillId="0" borderId="0" xfId="0" applyFont="1" applyAlignment="1">
      <alignment horizontal="left" vertical="center"/>
    </xf>
    <xf numFmtId="0" fontId="32" fillId="3" borderId="1" xfId="0" applyFont="1" applyFill="1" applyBorder="1" applyAlignment="1">
      <alignment horizontal="left" vertical="center" wrapText="1" indent="1"/>
    </xf>
    <xf numFmtId="0" fontId="32" fillId="3" borderId="2" xfId="0" applyFont="1" applyFill="1" applyBorder="1" applyAlignment="1">
      <alignment horizontal="left" vertical="center" wrapText="1" indent="1"/>
    </xf>
    <xf numFmtId="0" fontId="32" fillId="3" borderId="5" xfId="0" applyFont="1" applyFill="1" applyBorder="1" applyAlignment="1">
      <alignment horizontal="left" vertical="center" wrapText="1" indent="1"/>
    </xf>
    <xf numFmtId="0" fontId="32" fillId="3" borderId="6" xfId="0" applyFont="1" applyFill="1" applyBorder="1" applyAlignment="1">
      <alignment horizontal="left" vertical="center" wrapText="1" indent="1"/>
    </xf>
    <xf numFmtId="0" fontId="146" fillId="2" borderId="0" xfId="0" applyFont="1" applyFill="1" applyAlignment="1">
      <alignment horizontal="left" vertical="center"/>
    </xf>
    <xf numFmtId="0" fontId="87" fillId="9" borderId="1" xfId="0" applyFont="1" applyFill="1" applyBorder="1" applyAlignment="1">
      <alignment horizontal="center"/>
    </xf>
    <xf numFmtId="0" fontId="87" fillId="9" borderId="8" xfId="0" applyFont="1" applyFill="1" applyBorder="1" applyAlignment="1">
      <alignment horizontal="center"/>
    </xf>
    <xf numFmtId="0" fontId="87" fillId="9" borderId="2" xfId="0" applyFont="1" applyFill="1" applyBorder="1" applyAlignment="1">
      <alignment horizontal="center"/>
    </xf>
    <xf numFmtId="0" fontId="87" fillId="9" borderId="151" xfId="0" applyFont="1" applyFill="1" applyBorder="1" applyAlignment="1">
      <alignment horizontal="center" vertical="top"/>
    </xf>
    <xf numFmtId="0" fontId="87" fillId="9" borderId="30" xfId="0" applyFont="1" applyFill="1" applyBorder="1" applyAlignment="1">
      <alignment horizontal="center" vertical="top"/>
    </xf>
    <xf numFmtId="0" fontId="87" fillId="9" borderId="152" xfId="0" applyFont="1" applyFill="1" applyBorder="1" applyAlignment="1">
      <alignment horizontal="center" vertical="top"/>
    </xf>
    <xf numFmtId="10" fontId="39" fillId="11" borderId="0" xfId="4" applyNumberFormat="1" applyFont="1" applyFill="1" applyAlignment="1">
      <alignment horizontal="right"/>
    </xf>
    <xf numFmtId="0" fontId="0" fillId="6" borderId="0" xfId="0" applyFill="1" applyAlignment="1">
      <alignment horizontal="center"/>
    </xf>
    <xf numFmtId="0" fontId="0" fillId="6" borderId="24" xfId="0" applyFill="1" applyBorder="1" applyAlignment="1">
      <alignment horizontal="center"/>
    </xf>
    <xf numFmtId="0" fontId="83" fillId="2" borderId="20" xfId="0" applyFont="1" applyFill="1" applyBorder="1" applyAlignment="1">
      <alignment horizontal="left" vertical="center" indent="1"/>
    </xf>
    <xf numFmtId="0" fontId="83" fillId="2" borderId="21" xfId="0" applyFont="1" applyFill="1" applyBorder="1" applyAlignment="1">
      <alignment horizontal="left" vertical="center" indent="1"/>
    </xf>
    <xf numFmtId="0" fontId="83" fillId="2" borderId="23" xfId="0" applyFont="1" applyFill="1" applyBorder="1" applyAlignment="1">
      <alignment horizontal="left" vertical="center" indent="1"/>
    </xf>
    <xf numFmtId="0" fontId="83" fillId="2" borderId="0" xfId="0" applyFont="1" applyFill="1" applyAlignment="1">
      <alignment horizontal="left" vertical="center" indent="1"/>
    </xf>
    <xf numFmtId="0" fontId="7" fillId="0" borderId="0" xfId="0" applyFont="1" applyAlignment="1">
      <alignment horizontal="left" vertical="center" indent="1"/>
    </xf>
    <xf numFmtId="0" fontId="121" fillId="9" borderId="0" xfId="1" applyFont="1" applyFill="1" applyBorder="1" applyAlignment="1">
      <alignment horizontal="left" vertical="center" indent="6"/>
    </xf>
    <xf numFmtId="0" fontId="120" fillId="9" borderId="0" xfId="1" applyFont="1" applyFill="1" applyBorder="1" applyAlignment="1">
      <alignment horizontal="left" vertical="center"/>
    </xf>
    <xf numFmtId="0" fontId="76" fillId="9" borderId="0" xfId="1" applyFont="1" applyFill="1" applyBorder="1" applyAlignment="1">
      <alignment horizontal="left" vertical="center"/>
    </xf>
    <xf numFmtId="0" fontId="74" fillId="9" borderId="0" xfId="0" applyFont="1" applyFill="1" applyAlignment="1">
      <alignment horizontal="left" vertical="center"/>
    </xf>
    <xf numFmtId="0" fontId="120" fillId="9" borderId="0" xfId="1" applyFont="1" applyFill="1" applyBorder="1" applyAlignment="1">
      <alignment horizontal="left" vertical="top"/>
    </xf>
    <xf numFmtId="0" fontId="120" fillId="9" borderId="48" xfId="1" applyFont="1" applyFill="1" applyBorder="1" applyAlignment="1">
      <alignment horizontal="left" vertical="top"/>
    </xf>
    <xf numFmtId="0" fontId="76" fillId="9" borderId="0" xfId="1" applyFont="1" applyFill="1" applyBorder="1" applyAlignment="1">
      <alignment horizontal="left" vertical="top"/>
    </xf>
    <xf numFmtId="0" fontId="76" fillId="9" borderId="48" xfId="1" applyFont="1" applyFill="1" applyBorder="1" applyAlignment="1">
      <alignment horizontal="left" vertical="top"/>
    </xf>
    <xf numFmtId="0" fontId="74" fillId="9" borderId="0" xfId="0" applyFont="1" applyFill="1" applyAlignment="1">
      <alignment horizontal="left" vertical="top"/>
    </xf>
    <xf numFmtId="0" fontId="74" fillId="9" borderId="48" xfId="0" applyFont="1" applyFill="1" applyBorder="1" applyAlignment="1">
      <alignment horizontal="left" vertical="top"/>
    </xf>
    <xf numFmtId="0" fontId="64" fillId="7" borderId="155" xfId="0" applyFont="1" applyFill="1" applyBorder="1" applyAlignment="1" applyProtection="1">
      <alignment horizontal="center" vertical="center"/>
      <protection locked="0"/>
    </xf>
    <xf numFmtId="0" fontId="64" fillId="7" borderId="156" xfId="0" applyFont="1" applyFill="1" applyBorder="1" applyAlignment="1" applyProtection="1">
      <alignment horizontal="center" vertical="center"/>
      <protection locked="0"/>
    </xf>
    <xf numFmtId="0" fontId="64" fillId="2" borderId="0" xfId="0" applyFont="1" applyFill="1" applyAlignment="1">
      <alignment horizontal="left" vertical="center" wrapText="1"/>
    </xf>
    <xf numFmtId="0" fontId="68" fillId="3" borderId="8" xfId="0" applyFont="1" applyFill="1" applyBorder="1" applyAlignment="1">
      <alignment horizontal="center" vertical="center"/>
    </xf>
    <xf numFmtId="0" fontId="68" fillId="3" borderId="7" xfId="0" applyFont="1" applyFill="1" applyBorder="1" applyAlignment="1">
      <alignment horizontal="center" vertical="center"/>
    </xf>
    <xf numFmtId="0" fontId="64" fillId="2" borderId="0" xfId="0" applyFont="1" applyFill="1" applyAlignment="1">
      <alignment horizontal="left" vertical="top" wrapText="1" indent="1"/>
    </xf>
    <xf numFmtId="0" fontId="64" fillId="2" borderId="0" xfId="0" applyFont="1" applyFill="1" applyAlignment="1">
      <alignment horizontal="left" vertical="top" wrapText="1"/>
    </xf>
    <xf numFmtId="0" fontId="68" fillId="2" borderId="3" xfId="0" applyFont="1" applyFill="1" applyBorder="1" applyAlignment="1">
      <alignment horizontal="center" vertical="center"/>
    </xf>
    <xf numFmtId="0" fontId="68" fillId="2" borderId="75" xfId="0" applyFont="1" applyFill="1" applyBorder="1" applyAlignment="1">
      <alignment horizontal="center" vertical="center"/>
    </xf>
    <xf numFmtId="0" fontId="64" fillId="6" borderId="0" xfId="0" applyFont="1" applyFill="1" applyAlignment="1" applyProtection="1">
      <alignment horizontal="center"/>
      <protection locked="0"/>
    </xf>
    <xf numFmtId="0" fontId="42" fillId="2" borderId="0" xfId="0" applyFont="1" applyFill="1" applyAlignment="1">
      <alignment horizontal="center" vertical="center" wrapText="1"/>
    </xf>
    <xf numFmtId="0" fontId="42" fillId="2" borderId="0" xfId="0" applyFont="1" applyFill="1" applyAlignment="1">
      <alignment horizontal="center" vertical="top" wrapText="1"/>
    </xf>
    <xf numFmtId="0" fontId="123" fillId="9" borderId="0" xfId="1" applyFont="1" applyFill="1" applyBorder="1" applyAlignment="1">
      <alignment horizontal="left" indent="6"/>
    </xf>
    <xf numFmtId="0" fontId="89" fillId="9" borderId="0" xfId="1" applyFont="1" applyFill="1" applyBorder="1" applyAlignment="1">
      <alignment horizontal="left" indent="6"/>
    </xf>
    <xf numFmtId="0" fontId="80" fillId="9" borderId="0" xfId="0" applyFont="1" applyFill="1" applyAlignment="1">
      <alignment horizontal="left" vertical="top"/>
    </xf>
    <xf numFmtId="0" fontId="80" fillId="9" borderId="48" xfId="0" applyFont="1" applyFill="1" applyBorder="1" applyAlignment="1">
      <alignment horizontal="left" vertical="top"/>
    </xf>
    <xf numFmtId="0" fontId="80" fillId="9" borderId="0" xfId="0" applyFont="1" applyFill="1" applyAlignment="1">
      <alignment horizontal="left" vertical="center"/>
    </xf>
    <xf numFmtId="0" fontId="119" fillId="9" borderId="0" xfId="1" applyFont="1" applyFill="1" applyBorder="1" applyAlignment="1">
      <alignment horizontal="left" vertical="top"/>
    </xf>
    <xf numFmtId="0" fontId="119" fillId="9" borderId="48" xfId="1" applyFont="1" applyFill="1" applyBorder="1" applyAlignment="1">
      <alignment horizontal="left" vertical="top"/>
    </xf>
    <xf numFmtId="0" fontId="119" fillId="9" borderId="0" xfId="1" applyFont="1" applyFill="1" applyBorder="1" applyAlignment="1">
      <alignment horizontal="left" vertical="center"/>
    </xf>
    <xf numFmtId="0" fontId="135" fillId="9" borderId="0" xfId="0" applyFont="1" applyFill="1" applyAlignment="1">
      <alignment horizontal="left" vertical="center" indent="1"/>
    </xf>
    <xf numFmtId="0" fontId="135" fillId="9" borderId="48" xfId="0" applyFont="1" applyFill="1" applyBorder="1" applyAlignment="1">
      <alignment horizontal="left" vertical="center" indent="1"/>
    </xf>
    <xf numFmtId="0" fontId="47" fillId="6" borderId="0" xfId="1" applyFont="1" applyFill="1" applyAlignment="1">
      <alignment horizontal="left"/>
    </xf>
    <xf numFmtId="0" fontId="44" fillId="6" borderId="0" xfId="0" applyFont="1" applyFill="1" applyAlignment="1">
      <alignment horizontal="left"/>
    </xf>
    <xf numFmtId="0" fontId="47" fillId="6" borderId="0" xfId="1" applyFont="1" applyFill="1" applyAlignment="1">
      <alignment horizontal="left" vertical="top"/>
    </xf>
    <xf numFmtId="0" fontId="32" fillId="0" borderId="0" xfId="0" applyFont="1" applyAlignment="1">
      <alignment horizontal="left" vertical="top" wrapText="1"/>
    </xf>
    <xf numFmtId="0" fontId="112" fillId="0" borderId="0" xfId="0" applyFont="1" applyAlignment="1">
      <alignment horizontal="left" vertical="top" wrapText="1"/>
    </xf>
    <xf numFmtId="0" fontId="112" fillId="0" borderId="0" xfId="0" applyFont="1" applyAlignment="1">
      <alignment horizontal="left" vertical="top"/>
    </xf>
    <xf numFmtId="0" fontId="111" fillId="0" borderId="0" xfId="0" applyFont="1" applyAlignment="1">
      <alignment horizontal="center" vertical="top"/>
    </xf>
    <xf numFmtId="0" fontId="32" fillId="0" borderId="0" xfId="0" applyFont="1" applyAlignment="1">
      <alignment horizontal="left" wrapText="1"/>
    </xf>
    <xf numFmtId="0" fontId="71" fillId="0" borderId="0" xfId="0" applyFont="1" applyAlignment="1">
      <alignment horizontal="left" vertical="top" wrapText="1"/>
    </xf>
    <xf numFmtId="0" fontId="108" fillId="3" borderId="1" xfId="0" applyFont="1" applyFill="1" applyBorder="1" applyAlignment="1">
      <alignment horizontal="center" vertical="top"/>
    </xf>
    <xf numFmtId="0" fontId="108" fillId="3" borderId="2" xfId="0" applyFont="1" applyFill="1" applyBorder="1" applyAlignment="1">
      <alignment horizontal="center" vertical="top"/>
    </xf>
    <xf numFmtId="0" fontId="108" fillId="3" borderId="9" xfId="0" applyFont="1" applyFill="1" applyBorder="1" applyAlignment="1">
      <alignment horizontal="center" vertical="center"/>
    </xf>
    <xf numFmtId="0" fontId="108" fillId="3" borderId="11" xfId="0" applyFont="1" applyFill="1" applyBorder="1" applyAlignment="1">
      <alignment horizontal="center" vertical="center"/>
    </xf>
    <xf numFmtId="0" fontId="64" fillId="2" borderId="0" xfId="0" applyFont="1" applyFill="1" applyAlignment="1">
      <alignment horizontal="left" vertical="top" wrapText="1" indent="3"/>
    </xf>
    <xf numFmtId="0" fontId="2" fillId="12" borderId="5" xfId="0" applyFont="1" applyFill="1" applyBorder="1" applyAlignment="1">
      <alignment horizontal="left" vertical="center"/>
    </xf>
    <xf numFmtId="0" fontId="2" fillId="12" borderId="7" xfId="0" applyFont="1" applyFill="1" applyBorder="1" applyAlignment="1">
      <alignment horizontal="left" vertical="center"/>
    </xf>
    <xf numFmtId="0" fontId="2" fillId="12" borderId="6" xfId="0" applyFont="1" applyFill="1" applyBorder="1" applyAlignment="1">
      <alignment horizontal="left" vertical="center"/>
    </xf>
    <xf numFmtId="0" fontId="120" fillId="9" borderId="0" xfId="1" applyFont="1" applyFill="1" applyBorder="1" applyAlignment="1">
      <alignment horizontal="left"/>
    </xf>
    <xf numFmtId="0" fontId="180" fillId="9" borderId="0" xfId="0" applyFont="1" applyFill="1" applyAlignment="1">
      <alignment horizontal="left" vertical="center" indent="5"/>
    </xf>
    <xf numFmtId="0" fontId="180" fillId="9" borderId="48" xfId="0" applyFont="1" applyFill="1" applyBorder="1" applyAlignment="1">
      <alignment horizontal="left" vertical="center" indent="5"/>
    </xf>
    <xf numFmtId="0" fontId="0" fillId="6" borderId="0" xfId="0" applyFill="1" applyAlignment="1" applyProtection="1">
      <alignment horizontal="center"/>
      <protection locked="0"/>
    </xf>
    <xf numFmtId="0" fontId="32" fillId="6" borderId="0" xfId="0" applyFont="1" applyFill="1" applyAlignment="1" applyProtection="1">
      <alignment horizontal="center"/>
      <protection locked="0"/>
    </xf>
    <xf numFmtId="0" fontId="110" fillId="0" borderId="0" xfId="0" applyFont="1" applyAlignment="1">
      <alignment horizontal="left" vertical="top" wrapText="1"/>
    </xf>
    <xf numFmtId="0" fontId="64" fillId="0" borderId="0" xfId="0" applyFont="1" applyAlignment="1">
      <alignment horizontal="left" vertical="top" wrapText="1"/>
    </xf>
    <xf numFmtId="0" fontId="101" fillId="0" borderId="0" xfId="0" applyFont="1" applyAlignment="1">
      <alignment horizontal="left" vertical="top" wrapText="1"/>
    </xf>
    <xf numFmtId="0" fontId="64" fillId="0" borderId="0" xfId="0" applyFont="1" applyAlignment="1">
      <alignment vertical="top" wrapText="1"/>
    </xf>
    <xf numFmtId="0" fontId="64" fillId="3" borderId="116" xfId="0" applyFont="1" applyFill="1" applyBorder="1" applyAlignment="1">
      <alignment horizontal="center"/>
    </xf>
    <xf numFmtId="0" fontId="103" fillId="3" borderId="112" xfId="0" applyFont="1" applyFill="1" applyBorder="1" applyAlignment="1">
      <alignment horizontal="center" vertical="center" wrapText="1"/>
    </xf>
    <xf numFmtId="0" fontId="104" fillId="0" borderId="112" xfId="0" applyFont="1" applyBorder="1" applyAlignment="1">
      <alignment horizontal="center" vertical="center" wrapText="1"/>
    </xf>
    <xf numFmtId="0" fontId="85" fillId="2" borderId="0" xfId="0" applyFont="1" applyFill="1" applyAlignment="1">
      <alignment horizontal="left"/>
    </xf>
    <xf numFmtId="0" fontId="83" fillId="2" borderId="0" xfId="0" applyFont="1" applyFill="1" applyAlignment="1">
      <alignment horizontal="center"/>
    </xf>
    <xf numFmtId="0" fontId="83" fillId="2" borderId="7" xfId="0" applyFont="1" applyFill="1" applyBorder="1" applyAlignment="1">
      <alignment horizontal="center"/>
    </xf>
    <xf numFmtId="0" fontId="137" fillId="9" borderId="0" xfId="0" applyFont="1" applyFill="1" applyAlignment="1">
      <alignment horizontal="left" vertical="center"/>
    </xf>
    <xf numFmtId="0" fontId="137" fillId="9" borderId="80" xfId="0" applyFont="1" applyFill="1" applyBorder="1" applyAlignment="1">
      <alignment horizontal="left" vertical="center"/>
    </xf>
    <xf numFmtId="0" fontId="214" fillId="6" borderId="0" xfId="1" applyFont="1" applyFill="1" applyAlignment="1" applyProtection="1">
      <alignment horizontal="center" vertical="center"/>
      <protection locked="0"/>
    </xf>
    <xf numFmtId="0" fontId="22" fillId="2" borderId="0" xfId="1" applyFont="1" applyFill="1" applyAlignment="1">
      <alignment horizontal="center"/>
    </xf>
    <xf numFmtId="0" fontId="32" fillId="6" borderId="36" xfId="0" applyFont="1" applyFill="1" applyBorder="1" applyAlignment="1">
      <alignment horizontal="center"/>
    </xf>
    <xf numFmtId="0" fontId="32" fillId="6" borderId="0" xfId="0" applyFont="1" applyFill="1" applyAlignment="1">
      <alignment horizontal="center"/>
    </xf>
    <xf numFmtId="0" fontId="135" fillId="9" borderId="0" xfId="0" applyFont="1" applyFill="1" applyAlignment="1">
      <alignment horizontal="left" vertical="top" indent="3"/>
    </xf>
    <xf numFmtId="0" fontId="135" fillId="9" borderId="48" xfId="0" applyFont="1" applyFill="1" applyBorder="1" applyAlignment="1">
      <alignment horizontal="left" vertical="top" indent="3"/>
    </xf>
    <xf numFmtId="0" fontId="36" fillId="6" borderId="33" xfId="0" applyFont="1" applyFill="1" applyBorder="1" applyAlignment="1">
      <alignment horizontal="center" vertical="top" wrapText="1"/>
    </xf>
    <xf numFmtId="0" fontId="36" fillId="6" borderId="35" xfId="0" applyFont="1" applyFill="1" applyBorder="1" applyAlignment="1">
      <alignment horizontal="center" vertical="top"/>
    </xf>
    <xf numFmtId="0" fontId="36" fillId="6" borderId="36" xfId="0" applyFont="1" applyFill="1" applyBorder="1" applyAlignment="1">
      <alignment horizontal="center" vertical="top"/>
    </xf>
    <xf numFmtId="0" fontId="36" fillId="6" borderId="37" xfId="0" applyFont="1" applyFill="1" applyBorder="1" applyAlignment="1">
      <alignment horizontal="center" vertical="top"/>
    </xf>
    <xf numFmtId="0" fontId="36" fillId="6" borderId="38" xfId="0" applyFont="1" applyFill="1" applyBorder="1" applyAlignment="1">
      <alignment horizontal="center" vertical="top"/>
    </xf>
    <xf numFmtId="0" fontId="36" fillId="6" borderId="39" xfId="0" applyFont="1" applyFill="1" applyBorder="1" applyAlignment="1">
      <alignment horizontal="center" vertical="top"/>
    </xf>
    <xf numFmtId="10" fontId="31" fillId="6" borderId="82" xfId="0" applyNumberFormat="1" applyFont="1" applyFill="1" applyBorder="1" applyAlignment="1">
      <alignment horizontal="center" vertical="center"/>
    </xf>
    <xf numFmtId="10" fontId="31" fillId="6" borderId="83" xfId="0" applyNumberFormat="1" applyFont="1" applyFill="1" applyBorder="1" applyAlignment="1">
      <alignment horizontal="center" vertical="center"/>
    </xf>
    <xf numFmtId="10" fontId="31" fillId="6" borderId="84" xfId="0" applyNumberFormat="1" applyFont="1" applyFill="1" applyBorder="1" applyAlignment="1">
      <alignment horizontal="center" vertical="center"/>
    </xf>
    <xf numFmtId="0" fontId="36" fillId="6" borderId="33" xfId="0" applyFont="1" applyFill="1" applyBorder="1" applyAlignment="1">
      <alignment horizontal="center" vertical="center"/>
    </xf>
    <xf numFmtId="0" fontId="36" fillId="6" borderId="35" xfId="0" applyFont="1" applyFill="1" applyBorder="1" applyAlignment="1">
      <alignment horizontal="center" vertical="center"/>
    </xf>
    <xf numFmtId="0" fontId="36" fillId="6" borderId="36" xfId="0" applyFont="1" applyFill="1" applyBorder="1" applyAlignment="1">
      <alignment horizontal="center" vertical="center"/>
    </xf>
    <xf numFmtId="0" fontId="36" fillId="6" borderId="37" xfId="0" applyFont="1" applyFill="1" applyBorder="1" applyAlignment="1">
      <alignment horizontal="center" vertical="center"/>
    </xf>
    <xf numFmtId="0" fontId="36" fillId="6" borderId="38" xfId="0" applyFont="1" applyFill="1" applyBorder="1" applyAlignment="1">
      <alignment horizontal="center" vertical="center"/>
    </xf>
    <xf numFmtId="0" fontId="36" fillId="6" borderId="39" xfId="0" applyFont="1" applyFill="1" applyBorder="1" applyAlignment="1">
      <alignment horizontal="center" vertical="center"/>
    </xf>
    <xf numFmtId="0" fontId="35" fillId="6" borderId="0" xfId="0" applyFont="1" applyFill="1" applyAlignment="1">
      <alignment horizontal="left" wrapText="1"/>
    </xf>
    <xf numFmtId="9" fontId="38" fillId="6" borderId="36" xfId="4" applyFont="1" applyFill="1" applyBorder="1" applyAlignment="1">
      <alignment horizontal="center"/>
    </xf>
    <xf numFmtId="9" fontId="38" fillId="6" borderId="0" xfId="4" applyFont="1" applyFill="1" applyAlignment="1">
      <alignment horizontal="center"/>
    </xf>
    <xf numFmtId="0" fontId="3" fillId="2" borderId="0" xfId="1" applyFill="1" applyBorder="1" applyAlignment="1">
      <alignment horizontal="left"/>
    </xf>
  </cellXfs>
  <cellStyles count="5">
    <cellStyle name="Link" xfId="1" builtinId="8"/>
    <cellStyle name="Normal" xfId="0" builtinId="0"/>
    <cellStyle name="Normal 2" xfId="2" xr:uid="{86787999-DE5C-4923-81F1-51A305BC232C}"/>
    <cellStyle name="Normal 3" xfId="3" xr:uid="{983152B8-7BD4-4F58-88D5-530E7C1B2508}"/>
    <cellStyle name="Procent" xfId="4" builtinId="5"/>
  </cellStyles>
  <dxfs count="9">
    <dxf>
      <font>
        <color rgb="FF9C0006"/>
      </font>
      <fill>
        <patternFill>
          <bgColor rgb="FFFFC7CE"/>
        </patternFill>
      </fill>
    </dxf>
    <dxf>
      <font>
        <b val="0"/>
        <i/>
        <strike/>
      </font>
    </dxf>
    <dxf>
      <font>
        <b/>
        <i val="0"/>
        <strike/>
        <color rgb="FFFF0000"/>
      </font>
    </dxf>
    <dxf>
      <font>
        <b/>
        <i val="0"/>
        <color rgb="FFFF3300"/>
      </font>
    </dxf>
    <dxf>
      <font>
        <b/>
        <i val="0"/>
        <color rgb="FFFF3300"/>
      </font>
    </dxf>
    <dxf>
      <fill>
        <patternFill>
          <bgColor theme="0" tint="-0.14996795556505021"/>
        </patternFill>
      </fill>
      <border>
        <left style="thin">
          <color auto="1"/>
        </left>
        <right style="thin">
          <color auto="1"/>
        </right>
        <top/>
        <bottom style="thin">
          <color auto="1"/>
        </bottom>
        <vertical/>
        <horizontal/>
      </border>
    </dxf>
    <dxf>
      <font>
        <b/>
        <i val="0"/>
        <color rgb="FFFF0000"/>
      </font>
    </dxf>
    <dxf>
      <font>
        <b/>
        <i val="0"/>
        <color rgb="FFFF3300"/>
      </font>
    </dxf>
    <dxf>
      <border>
        <bottom style="thin">
          <color auto="1"/>
        </bottom>
        <vertical/>
        <horizontal/>
      </border>
    </dxf>
  </dxfs>
  <tableStyles count="0" defaultTableStyle="TableStyleMedium2" defaultPivotStyle="PivotStyleLight16"/>
  <colors>
    <mruColors>
      <color rgb="FF993300"/>
      <color rgb="FFFFFFCC"/>
      <color rgb="FF0000FF"/>
      <color rgb="FFFF3300"/>
      <color rgb="FFD8482A"/>
      <color rgb="FFFF4D00"/>
      <color rgb="FFEBCF32"/>
      <color rgb="FFF3EDE5"/>
      <color rgb="FFE9E9D1"/>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3" Type="http://schemas.openxmlformats.org/officeDocument/2006/relationships/hyperlink" Target="#BK_poolish!A1"/><Relationship Id="rId18" Type="http://schemas.openxmlformats.org/officeDocument/2006/relationships/hyperlink" Target="#'NY style'!A1"/><Relationship Id="rId26" Type="http://schemas.openxmlformats.org/officeDocument/2006/relationships/hyperlink" Target="https://bagerkokken.dk/" TargetMode="External"/><Relationship Id="rId39" Type="http://schemas.openxmlformats.org/officeDocument/2006/relationships/hyperlink" Target="#BK_glut_h!Udskriftsomr&#229;de"/><Relationship Id="rId21" Type="http://schemas.openxmlformats.org/officeDocument/2006/relationships/hyperlink" Target="#BK_biga_v2!A1"/><Relationship Id="rId34" Type="http://schemas.openxmlformats.org/officeDocument/2006/relationships/hyperlink" Target="https://ko-fi.com/pizzatool" TargetMode="External"/><Relationship Id="rId42" Type="http://schemas.openxmlformats.org/officeDocument/2006/relationships/image" Target="../media/image10.png"/><Relationship Id="rId7" Type="http://schemas.openxmlformats.org/officeDocument/2006/relationships/hyperlink" Target="#Mel!A1"/><Relationship Id="rId2" Type="http://schemas.openxmlformats.org/officeDocument/2006/relationships/hyperlink" Target="#'Gorms pizzadej'!A1"/><Relationship Id="rId16" Type="http://schemas.openxmlformats.org/officeDocument/2006/relationships/image" Target="../media/image2.png"/><Relationship Id="rId20" Type="http://schemas.openxmlformats.org/officeDocument/2006/relationships/hyperlink" Target="#'Tony tiga+poolish'!A1"/><Relationship Id="rId29" Type="http://schemas.openxmlformats.org/officeDocument/2006/relationships/image" Target="../media/image7.png"/><Relationship Id="rId41" Type="http://schemas.openxmlformats.org/officeDocument/2006/relationships/image" Target="../media/image9.jpeg"/><Relationship Id="rId1" Type="http://schemas.openxmlformats.org/officeDocument/2006/relationships/hyperlink" Target="#BK_napoli!A1"/><Relationship Id="rId6" Type="http://schemas.openxmlformats.org/officeDocument/2006/relationships/hyperlink" Target="#Beregnere!A1"/><Relationship Id="rId11" Type="http://schemas.openxmlformats.org/officeDocument/2006/relationships/hyperlink" Target="#BK_bageenzym!A1"/><Relationship Id="rId24" Type="http://schemas.openxmlformats.org/officeDocument/2006/relationships/hyperlink" Target="https://www.instagram.com/bagerkokken/" TargetMode="External"/><Relationship Id="rId32" Type="http://schemas.openxmlformats.org/officeDocument/2006/relationships/hyperlink" Target="#Seb_biga!A1"/><Relationship Id="rId37" Type="http://schemas.openxmlformats.org/officeDocument/2006/relationships/hyperlink" Target="#G&#230;r!A1"/><Relationship Id="rId40" Type="http://schemas.openxmlformats.org/officeDocument/2006/relationships/hyperlink" Target="https://madboeger.dk/product/pizza-ren-norderi-2/" TargetMode="External"/><Relationship Id="rId5" Type="http://schemas.openxmlformats.org/officeDocument/2006/relationships/hyperlink" Target="#'Umuts pizzadej'!A1"/><Relationship Id="rId15" Type="http://schemas.openxmlformats.org/officeDocument/2006/relationships/hyperlink" Target="#Spread!A1"/><Relationship Id="rId23" Type="http://schemas.openxmlformats.org/officeDocument/2006/relationships/image" Target="../media/image4.png"/><Relationship Id="rId28" Type="http://schemas.openxmlformats.org/officeDocument/2006/relationships/hyperlink" Target="#&#216;vrigt!A1"/><Relationship Id="rId36" Type="http://schemas.openxmlformats.org/officeDocument/2006/relationships/hyperlink" Target="#PPAH_NY!A1"/><Relationship Id="rId10" Type="http://schemas.openxmlformats.org/officeDocument/2006/relationships/hyperlink" Target="#BK_surdej!A1"/><Relationship Id="rId19" Type="http://schemas.openxmlformats.org/officeDocument/2006/relationships/hyperlink" Target="#BK_biga_v1!A1"/><Relationship Id="rId31" Type="http://schemas.openxmlformats.org/officeDocument/2006/relationships/hyperlink" Target="#Tomatsauce!A1"/><Relationship Id="rId4" Type="http://schemas.openxmlformats.org/officeDocument/2006/relationships/image" Target="../media/image1.png"/><Relationship Id="rId9" Type="http://schemas.openxmlformats.org/officeDocument/2006/relationships/hyperlink" Target="#BK_detroit!A1"/><Relationship Id="rId14" Type="http://schemas.openxmlformats.org/officeDocument/2006/relationships/hyperlink" Target="#Toppings!A1"/><Relationship Id="rId22" Type="http://schemas.openxmlformats.org/officeDocument/2006/relationships/hyperlink" Target="https://www.facebook.com/profile.php?id=100083085001819" TargetMode="External"/><Relationship Id="rId27" Type="http://schemas.openxmlformats.org/officeDocument/2006/relationships/image" Target="../media/image6.png"/><Relationship Id="rId30" Type="http://schemas.openxmlformats.org/officeDocument/2006/relationships/hyperlink" Target="#Seb_24t!A1"/><Relationship Id="rId35" Type="http://schemas.openxmlformats.org/officeDocument/2006/relationships/image" Target="../media/image8.png"/><Relationship Id="rId43" Type="http://schemas.openxmlformats.org/officeDocument/2006/relationships/hyperlink" Target="#NY_PizzaPal!A1"/><Relationship Id="rId8" Type="http://schemas.openxmlformats.org/officeDocument/2006/relationships/hyperlink" Target="#Skaler!Udskriftsomr&#229;de"/><Relationship Id="rId3" Type="http://schemas.openxmlformats.org/officeDocument/2006/relationships/hyperlink" Target="https://www.facebook.com/groups/pizzarennoerderi" TargetMode="External"/><Relationship Id="rId12" Type="http://schemas.openxmlformats.org/officeDocument/2006/relationships/hyperlink" Target="#'Vito poolish'!A1"/><Relationship Id="rId17" Type="http://schemas.openxmlformats.org/officeDocument/2006/relationships/image" Target="../media/image3.png"/><Relationship Id="rId25" Type="http://schemas.openxmlformats.org/officeDocument/2006/relationships/image" Target="../media/image5.png"/><Relationship Id="rId33" Type="http://schemas.openxmlformats.org/officeDocument/2006/relationships/hyperlink" Target="#BK_Handaelt!A1"/><Relationship Id="rId38" Type="http://schemas.openxmlformats.org/officeDocument/2006/relationships/hyperlink" Target="#Vand!A1"/></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hyperlink" Target="https://www.youtube.com/watch?v=Hl17sNlF9XI&amp;t=303s" TargetMode="External"/><Relationship Id="rId7" Type="http://schemas.openxmlformats.org/officeDocument/2006/relationships/hyperlink" Target="#HJEM!A1"/><Relationship Id="rId2" Type="http://schemas.openxmlformats.org/officeDocument/2006/relationships/image" Target="../media/image11.jpeg"/><Relationship Id="rId1" Type="http://schemas.openxmlformats.org/officeDocument/2006/relationships/hyperlink" Target="https://www.youtube.com/watch?v=u7Hd6ZzKgBM&amp;t=186s" TargetMode="External"/><Relationship Id="rId6" Type="http://schemas.openxmlformats.org/officeDocument/2006/relationships/image" Target="../media/image13.jpeg"/><Relationship Id="rId11" Type="http://schemas.openxmlformats.org/officeDocument/2006/relationships/image" Target="../media/image2.png"/><Relationship Id="rId5" Type="http://schemas.openxmlformats.org/officeDocument/2006/relationships/hyperlink" Target="https://www.youtube.com/watch?app=desktop&amp;v=G-jPoROGHGE" TargetMode="External"/><Relationship Id="rId10" Type="http://schemas.microsoft.com/office/2007/relationships/hdphoto" Target="../media/hdphoto1.wdp"/><Relationship Id="rId4" Type="http://schemas.openxmlformats.org/officeDocument/2006/relationships/image" Target="../media/image12.jpeg"/><Relationship Id="rId9" Type="http://schemas.openxmlformats.org/officeDocument/2006/relationships/image" Target="../media/image15.pn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4.png"/><Relationship Id="rId1" Type="http://schemas.openxmlformats.org/officeDocument/2006/relationships/hyperlink" Target="#HJEM!A1"/><Relationship Id="rId5" Type="http://schemas.openxmlformats.org/officeDocument/2006/relationships/image" Target="../media/image17.gif"/><Relationship Id="rId4" Type="http://schemas.microsoft.com/office/2007/relationships/hdphoto" Target="../media/hdphoto1.wdp"/></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7" Type="http://schemas.openxmlformats.org/officeDocument/2006/relationships/image" Target="../media/image2.png"/><Relationship Id="rId2" Type="http://schemas.openxmlformats.org/officeDocument/2006/relationships/image" Target="../media/image14.png"/><Relationship Id="rId1" Type="http://schemas.openxmlformats.org/officeDocument/2006/relationships/hyperlink" Target="#HJEM!A1"/><Relationship Id="rId6" Type="http://schemas.openxmlformats.org/officeDocument/2006/relationships/image" Target="../media/image19.png"/><Relationship Id="rId5" Type="http://schemas.openxmlformats.org/officeDocument/2006/relationships/hyperlink" Target="https://www.tiktok.com/@umutrasakarya/video/7150971503973076229?lang=en" TargetMode="External"/><Relationship Id="rId4" Type="http://schemas.microsoft.com/office/2007/relationships/hdphoto" Target="../media/hdphoto2.wdp"/></Relationships>
</file>

<file path=xl/drawings/_rels/drawing5.xml.rels><?xml version="1.0" encoding="UTF-8" standalone="yes"?>
<Relationships xmlns="http://schemas.openxmlformats.org/package/2006/relationships"><Relationship Id="rId8" Type="http://schemas.openxmlformats.org/officeDocument/2006/relationships/hyperlink" Target="https://www.youtube.com/watch?v=Rk8i-NTCPjw" TargetMode="External"/><Relationship Id="rId3" Type="http://schemas.openxmlformats.org/officeDocument/2006/relationships/image" Target="../media/image20.png"/><Relationship Id="rId7" Type="http://schemas.openxmlformats.org/officeDocument/2006/relationships/image" Target="../media/image22.png"/><Relationship Id="rId2" Type="http://schemas.openxmlformats.org/officeDocument/2006/relationships/image" Target="../media/image14.png"/><Relationship Id="rId1" Type="http://schemas.openxmlformats.org/officeDocument/2006/relationships/hyperlink" Target="#HJEM!A1"/><Relationship Id="rId6" Type="http://schemas.openxmlformats.org/officeDocument/2006/relationships/image" Target="../media/image21.png"/><Relationship Id="rId5" Type="http://schemas.openxmlformats.org/officeDocument/2006/relationships/hyperlink" Target="https://www.google.com/search?q=Tony+Gemignani&amp;sxsrf=AJOqlzUKblmgP8_c8xvIQZJ12YE9SmDmCQ%3A1679340675460&amp;ei=g7QYZJXYG5bzkgXmqIv4Dg&amp;ved=0ahUKEwjVpavDn-v9AhWWuaQKHWbUAu8Q4dUDCA8&amp;uact=5&amp;oq=Tony+Gemignani&amp;gs_lcp=Cgxnd3Mtd2l6LXNlcnAQAzIECAAQRzIECAAQRzIECAAQRzIECAAQRzIECAAQRzIECAAQRzIECAAQRzIECAAQRzoHCCMQ6gIQJ0oECEEYAFDJDljJDmCRFWgCcAJ4AIABAIgBAJIBAJgBAKABAaABArABCsgBCMABAQ&amp;sclient=gws-wiz-serp" TargetMode="External"/><Relationship Id="rId4" Type="http://schemas.microsoft.com/office/2007/relationships/hdphoto" Target="../media/hdphoto1.wdp"/><Relationship Id="rId9" Type="http://schemas.openxmlformats.org/officeDocument/2006/relationships/image" Target="../media/image19.png"/></Relationships>
</file>

<file path=xl/drawings/_rels/drawing6.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image" Target="../media/image24.png"/><Relationship Id="rId7" Type="http://schemas.openxmlformats.org/officeDocument/2006/relationships/image" Target="../media/image20.png"/><Relationship Id="rId2" Type="http://schemas.openxmlformats.org/officeDocument/2006/relationships/image" Target="../media/image23.png"/><Relationship Id="rId1" Type="http://schemas.openxmlformats.org/officeDocument/2006/relationships/hyperlink" Target="#HJEM!A1"/><Relationship Id="rId6" Type="http://schemas.openxmlformats.org/officeDocument/2006/relationships/image" Target="../media/image27.jpeg"/><Relationship Id="rId5" Type="http://schemas.openxmlformats.org/officeDocument/2006/relationships/image" Target="../media/image26.jpeg"/><Relationship Id="rId4" Type="http://schemas.openxmlformats.org/officeDocument/2006/relationships/image" Target="../media/image25.jpeg"/></Relationships>
</file>

<file path=xl/drawings/_rels/drawing7.xml.rels><?xml version="1.0" encoding="UTF-8" standalone="yes"?>
<Relationships xmlns="http://schemas.openxmlformats.org/package/2006/relationships"><Relationship Id="rId8" Type="http://schemas.openxmlformats.org/officeDocument/2006/relationships/image" Target="../media/image30.jpeg"/><Relationship Id="rId3" Type="http://schemas.openxmlformats.org/officeDocument/2006/relationships/image" Target="../media/image20.png"/><Relationship Id="rId7" Type="http://schemas.openxmlformats.org/officeDocument/2006/relationships/image" Target="../media/image29.jpeg"/><Relationship Id="rId2" Type="http://schemas.openxmlformats.org/officeDocument/2006/relationships/image" Target="../media/image14.png"/><Relationship Id="rId1" Type="http://schemas.openxmlformats.org/officeDocument/2006/relationships/hyperlink" Target="#HJEM!A1"/><Relationship Id="rId6" Type="http://schemas.openxmlformats.org/officeDocument/2006/relationships/image" Target="../media/image28.jpeg"/><Relationship Id="rId5" Type="http://schemas.openxmlformats.org/officeDocument/2006/relationships/image" Target="../media/image2.png"/><Relationship Id="rId4" Type="http://schemas.microsoft.com/office/2007/relationships/hdphoto" Target="../media/hdphoto1.wdp"/><Relationship Id="rId9" Type="http://schemas.openxmlformats.org/officeDocument/2006/relationships/image" Target="../media/image31.jpeg"/></Relationships>
</file>

<file path=xl/drawings/_rels/drawing8.xml.rels><?xml version="1.0" encoding="UTF-8" standalone="yes"?>
<Relationships xmlns="http://schemas.openxmlformats.org/package/2006/relationships"><Relationship Id="rId8" Type="http://schemas.openxmlformats.org/officeDocument/2006/relationships/hyperlink" Target="https://www.youtube.com/watch?v=IEj4Q4asRmU&amp;t=67s" TargetMode="External"/><Relationship Id="rId3" Type="http://schemas.openxmlformats.org/officeDocument/2006/relationships/image" Target="../media/image20.png"/><Relationship Id="rId7" Type="http://schemas.openxmlformats.org/officeDocument/2006/relationships/image" Target="../media/image32.jpeg"/><Relationship Id="rId2" Type="http://schemas.openxmlformats.org/officeDocument/2006/relationships/image" Target="../media/image23.png"/><Relationship Id="rId1" Type="http://schemas.openxmlformats.org/officeDocument/2006/relationships/hyperlink" Target="#HJEM!A1"/><Relationship Id="rId6" Type="http://schemas.openxmlformats.org/officeDocument/2006/relationships/hyperlink" Target="https://www.youtube.com/@PerfectPizzaatHome/videos" TargetMode="External"/><Relationship Id="rId5" Type="http://schemas.openxmlformats.org/officeDocument/2006/relationships/image" Target="../media/image22.png"/><Relationship Id="rId4" Type="http://schemas.microsoft.com/office/2007/relationships/hdphoto" Target="../media/hdphoto1.wdp"/><Relationship Id="rId9" Type="http://schemas.openxmlformats.org/officeDocument/2006/relationships/image" Target="../media/image19.png"/></Relationships>
</file>

<file path=xl/drawings/_rels/drawing9.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23.png"/><Relationship Id="rId1" Type="http://schemas.openxmlformats.org/officeDocument/2006/relationships/hyperlink" Target="#HJEM!A1"/><Relationship Id="rId5" Type="http://schemas.openxmlformats.org/officeDocument/2006/relationships/image" Target="../media/image22.png"/><Relationship Id="rId4" Type="http://schemas.microsoft.com/office/2007/relationships/hdphoto" Target="../media/hdphoto2.wdp"/></Relationships>
</file>

<file path=xl/drawings/_rels/drawing10.xml.rels><?xml version="1.0" encoding="UTF-8" standalone="yes"?>
<Relationships xmlns="http://schemas.openxmlformats.org/package/2006/relationships"><Relationship Id="rId8" Type="http://schemas.openxmlformats.org/officeDocument/2006/relationships/hyperlink" Target="https://pizzapal.dk/blogs/opskrifter/new-york-style-pizza-opskrift" TargetMode="External"/><Relationship Id="rId13" Type="http://schemas.openxmlformats.org/officeDocument/2006/relationships/image" Target="../media/image36.jpeg"/><Relationship Id="rId18" Type="http://schemas.openxmlformats.org/officeDocument/2006/relationships/image" Target="../media/image41.jpeg"/><Relationship Id="rId3" Type="http://schemas.openxmlformats.org/officeDocument/2006/relationships/image" Target="../media/image20.png"/><Relationship Id="rId7" Type="http://schemas.openxmlformats.org/officeDocument/2006/relationships/image" Target="../media/image19.png"/><Relationship Id="rId12" Type="http://schemas.microsoft.com/office/2007/relationships/hdphoto" Target="../media/hdphoto3.wdp"/><Relationship Id="rId17" Type="http://schemas.openxmlformats.org/officeDocument/2006/relationships/image" Target="../media/image40.jpeg"/><Relationship Id="rId2" Type="http://schemas.openxmlformats.org/officeDocument/2006/relationships/image" Target="../media/image23.png"/><Relationship Id="rId16" Type="http://schemas.openxmlformats.org/officeDocument/2006/relationships/image" Target="../media/image39.jpeg"/><Relationship Id="rId1" Type="http://schemas.openxmlformats.org/officeDocument/2006/relationships/hyperlink" Target="#HJEM!A1"/><Relationship Id="rId6" Type="http://schemas.openxmlformats.org/officeDocument/2006/relationships/hyperlink" Target="https://youtu.be/a3bD2l9JRlg" TargetMode="External"/><Relationship Id="rId11" Type="http://schemas.openxmlformats.org/officeDocument/2006/relationships/image" Target="../media/image35.png"/><Relationship Id="rId5" Type="http://schemas.openxmlformats.org/officeDocument/2006/relationships/image" Target="../media/image22.png"/><Relationship Id="rId15" Type="http://schemas.openxmlformats.org/officeDocument/2006/relationships/image" Target="../media/image38.jpeg"/><Relationship Id="rId10" Type="http://schemas.openxmlformats.org/officeDocument/2006/relationships/hyperlink" Target="https://pizzapal.dk/" TargetMode="External"/><Relationship Id="rId19" Type="http://schemas.openxmlformats.org/officeDocument/2006/relationships/image" Target="../media/image42.jpeg"/><Relationship Id="rId4" Type="http://schemas.microsoft.com/office/2007/relationships/hdphoto" Target="../media/hdphoto1.wdp"/><Relationship Id="rId9" Type="http://schemas.openxmlformats.org/officeDocument/2006/relationships/image" Target="../media/image34.png"/><Relationship Id="rId14" Type="http://schemas.openxmlformats.org/officeDocument/2006/relationships/image" Target="../media/image37.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43.png"/><Relationship Id="rId1" Type="http://schemas.openxmlformats.org/officeDocument/2006/relationships/hyperlink" Target="#HJEM!A1"/><Relationship Id="rId5" Type="http://schemas.openxmlformats.org/officeDocument/2006/relationships/image" Target="../media/image2.png"/><Relationship Id="rId4" Type="http://schemas.microsoft.com/office/2007/relationships/hdphoto" Target="../media/hdphoto1.wdp"/></Relationships>
</file>

<file path=xl/drawings/_rels/drawing1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43.png"/><Relationship Id="rId1" Type="http://schemas.openxmlformats.org/officeDocument/2006/relationships/hyperlink" Target="#HJEM!A1"/><Relationship Id="rId6" Type="http://schemas.openxmlformats.org/officeDocument/2006/relationships/image" Target="../media/image44.png"/><Relationship Id="rId5" Type="http://schemas.openxmlformats.org/officeDocument/2006/relationships/image" Target="../media/image2.png"/><Relationship Id="rId4" Type="http://schemas.microsoft.com/office/2007/relationships/hdphoto" Target="../media/hdphoto1.wdp"/></Relationships>
</file>

<file path=xl/drawings/_rels/drawing13.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14.png"/><Relationship Id="rId1" Type="http://schemas.openxmlformats.org/officeDocument/2006/relationships/hyperlink" Target="#HJEM!A1"/><Relationship Id="rId6" Type="http://schemas.openxmlformats.org/officeDocument/2006/relationships/image" Target="../media/image45.png"/><Relationship Id="rId5" Type="http://schemas.openxmlformats.org/officeDocument/2006/relationships/image" Target="../media/image2.png"/><Relationship Id="rId4" Type="http://schemas.microsoft.com/office/2007/relationships/hdphoto" Target="../media/hdphoto2.wdp"/></Relationships>
</file>

<file path=xl/drawings/_rels/drawing1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43.png"/><Relationship Id="rId1" Type="http://schemas.openxmlformats.org/officeDocument/2006/relationships/hyperlink" Target="#HJEM!A1"/><Relationship Id="rId6" Type="http://schemas.openxmlformats.org/officeDocument/2006/relationships/image" Target="../media/image46.png"/><Relationship Id="rId5" Type="http://schemas.openxmlformats.org/officeDocument/2006/relationships/image" Target="../media/image2.png"/><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43.png"/><Relationship Id="rId1" Type="http://schemas.openxmlformats.org/officeDocument/2006/relationships/hyperlink" Target="#HJEM!A1"/><Relationship Id="rId6" Type="http://schemas.openxmlformats.org/officeDocument/2006/relationships/image" Target="../media/image47.png"/><Relationship Id="rId5" Type="http://schemas.openxmlformats.org/officeDocument/2006/relationships/image" Target="../media/image2.png"/><Relationship Id="rId4" Type="http://schemas.microsoft.com/office/2007/relationships/hdphoto" Target="../media/hdphoto2.wdp"/></Relationships>
</file>

<file path=xl/drawings/_rels/drawing16.xml.rels><?xml version="1.0" encoding="UTF-8" standalone="yes"?>
<Relationships xmlns="http://schemas.openxmlformats.org/package/2006/relationships"><Relationship Id="rId8" Type="http://schemas.openxmlformats.org/officeDocument/2006/relationships/image" Target="../media/image51.jpeg"/><Relationship Id="rId3" Type="http://schemas.openxmlformats.org/officeDocument/2006/relationships/image" Target="../media/image48.png"/><Relationship Id="rId7" Type="http://schemas.openxmlformats.org/officeDocument/2006/relationships/image" Target="../media/image50.jpeg"/><Relationship Id="rId2" Type="http://schemas.openxmlformats.org/officeDocument/2006/relationships/image" Target="../media/image14.png"/><Relationship Id="rId1" Type="http://schemas.openxmlformats.org/officeDocument/2006/relationships/hyperlink" Target="#HJEM!A1"/><Relationship Id="rId6" Type="http://schemas.openxmlformats.org/officeDocument/2006/relationships/image" Target="../media/image49.jpeg"/><Relationship Id="rId5" Type="http://schemas.openxmlformats.org/officeDocument/2006/relationships/image" Target="../media/image2.png"/><Relationship Id="rId4" Type="http://schemas.microsoft.com/office/2007/relationships/hdphoto" Target="../media/hdphoto1.wdp"/><Relationship Id="rId9" Type="http://schemas.openxmlformats.org/officeDocument/2006/relationships/image" Target="../media/image52.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5.jpeg"/><Relationship Id="rId3" Type="http://schemas.openxmlformats.org/officeDocument/2006/relationships/image" Target="../media/image20.png"/><Relationship Id="rId7" Type="http://schemas.openxmlformats.org/officeDocument/2006/relationships/image" Target="../media/image54.jpeg"/><Relationship Id="rId2" Type="http://schemas.openxmlformats.org/officeDocument/2006/relationships/image" Target="../media/image14.png"/><Relationship Id="rId1" Type="http://schemas.openxmlformats.org/officeDocument/2006/relationships/hyperlink" Target="#HJEM!A1"/><Relationship Id="rId6" Type="http://schemas.openxmlformats.org/officeDocument/2006/relationships/image" Target="../media/image53.jpeg"/><Relationship Id="rId5" Type="http://schemas.openxmlformats.org/officeDocument/2006/relationships/image" Target="../media/image2.png"/><Relationship Id="rId4" Type="http://schemas.microsoft.com/office/2007/relationships/hdphoto" Target="../media/hdphoto1.wdp"/><Relationship Id="rId9" Type="http://schemas.openxmlformats.org/officeDocument/2006/relationships/image" Target="../media/image56.png"/></Relationships>
</file>

<file path=xl/drawings/_rels/drawing18.xml.rels><?xml version="1.0" encoding="UTF-8" standalone="yes"?>
<Relationships xmlns="http://schemas.openxmlformats.org/package/2006/relationships"><Relationship Id="rId8" Type="http://schemas.microsoft.com/office/2007/relationships/hdphoto" Target="../media/hdphoto2.wdp"/><Relationship Id="rId3" Type="http://schemas.openxmlformats.org/officeDocument/2006/relationships/image" Target="../media/image57.jpeg"/><Relationship Id="rId7" Type="http://schemas.openxmlformats.org/officeDocument/2006/relationships/image" Target="../media/image18.png"/><Relationship Id="rId2" Type="http://schemas.openxmlformats.org/officeDocument/2006/relationships/image" Target="../media/image43.png"/><Relationship Id="rId1" Type="http://schemas.openxmlformats.org/officeDocument/2006/relationships/hyperlink" Target="#HJEM!A1"/><Relationship Id="rId6" Type="http://schemas.openxmlformats.org/officeDocument/2006/relationships/image" Target="../media/image59.png"/><Relationship Id="rId5" Type="http://schemas.openxmlformats.org/officeDocument/2006/relationships/image" Target="../media/image58.jpeg"/><Relationship Id="rId4" Type="http://schemas.openxmlformats.org/officeDocument/2006/relationships/image" Target="../media/image2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43.png"/><Relationship Id="rId1" Type="http://schemas.openxmlformats.org/officeDocument/2006/relationships/hyperlink" Target="#HJEM!A1"/><Relationship Id="rId6" Type="http://schemas.openxmlformats.org/officeDocument/2006/relationships/image" Target="../media/image60.png"/><Relationship Id="rId5" Type="http://schemas.openxmlformats.org/officeDocument/2006/relationships/image" Target="../media/image2.png"/><Relationship Id="rId4" Type="http://schemas.microsoft.com/office/2007/relationships/hdphoto" Target="../media/hdphoto2.wdp"/></Relationships>
</file>

<file path=xl/drawings/_rels/drawing2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HJEM!A1"/></Relationships>
</file>

<file path=xl/drawings/_rels/drawing2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HJEM!A1"/></Relationships>
</file>

<file path=xl/drawings/_rels/drawing22.xml.rels><?xml version="1.0" encoding="UTF-8" standalone="yes"?>
<Relationships xmlns="http://schemas.openxmlformats.org/package/2006/relationships"><Relationship Id="rId3" Type="http://schemas.openxmlformats.org/officeDocument/2006/relationships/image" Target="../media/image63.jpeg"/><Relationship Id="rId7" Type="http://schemas.microsoft.com/office/2007/relationships/hdphoto" Target="../media/hdphoto2.wdp"/><Relationship Id="rId2" Type="http://schemas.openxmlformats.org/officeDocument/2006/relationships/image" Target="../media/image62.jpeg"/><Relationship Id="rId1" Type="http://schemas.openxmlformats.org/officeDocument/2006/relationships/image" Target="../media/image61.jpeg"/><Relationship Id="rId6" Type="http://schemas.openxmlformats.org/officeDocument/2006/relationships/image" Target="../media/image64.png"/><Relationship Id="rId5" Type="http://schemas.openxmlformats.org/officeDocument/2006/relationships/image" Target="../media/image14.png"/><Relationship Id="rId4" Type="http://schemas.openxmlformats.org/officeDocument/2006/relationships/hyperlink" Target="#HJEM!A1"/></Relationships>
</file>

<file path=xl/drawings/_rels/drawing23.xml.rels><?xml version="1.0" encoding="UTF-8" standalone="yes"?>
<Relationships xmlns="http://schemas.openxmlformats.org/package/2006/relationships"><Relationship Id="rId3" Type="http://schemas.openxmlformats.org/officeDocument/2006/relationships/image" Target="../media/image65.jpeg"/><Relationship Id="rId2" Type="http://schemas.openxmlformats.org/officeDocument/2006/relationships/image" Target="../media/image14.png"/><Relationship Id="rId1" Type="http://schemas.openxmlformats.org/officeDocument/2006/relationships/hyperlink" Target="#HJEM!A1"/><Relationship Id="rId4" Type="http://schemas.openxmlformats.org/officeDocument/2006/relationships/image" Target="../media/image66.jpeg"/></Relationships>
</file>

<file path=xl/drawings/_rels/drawing24.xml.rels><?xml version="1.0" encoding="UTF-8" standalone="yes"?>
<Relationships xmlns="http://schemas.openxmlformats.org/package/2006/relationships"><Relationship Id="rId3" Type="http://schemas.openxmlformats.org/officeDocument/2006/relationships/image" Target="../media/image67.jpeg"/><Relationship Id="rId2" Type="http://schemas.openxmlformats.org/officeDocument/2006/relationships/image" Target="../media/image14.png"/><Relationship Id="rId1" Type="http://schemas.openxmlformats.org/officeDocument/2006/relationships/hyperlink" Target="#HJEM!A1"/><Relationship Id="rId5" Type="http://schemas.openxmlformats.org/officeDocument/2006/relationships/image" Target="../media/image69.jpeg"/><Relationship Id="rId4" Type="http://schemas.openxmlformats.org/officeDocument/2006/relationships/image" Target="../media/image68.jpeg"/></Relationships>
</file>

<file path=xl/drawings/_rels/drawing2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hyperlink" Target="#HJEM!A1"/></Relationships>
</file>

<file path=xl/drawings/_rels/drawing26.xml.rels><?xml version="1.0" encoding="UTF-8" standalone="yes"?>
<Relationships xmlns="http://schemas.openxmlformats.org/package/2006/relationships"><Relationship Id="rId3" Type="http://schemas.openxmlformats.org/officeDocument/2006/relationships/image" Target="../media/image70.jpeg"/><Relationship Id="rId2" Type="http://schemas.openxmlformats.org/officeDocument/2006/relationships/image" Target="../media/image14.png"/><Relationship Id="rId1" Type="http://schemas.openxmlformats.org/officeDocument/2006/relationships/hyperlink" Target="#HJEM!A1"/><Relationship Id="rId5" Type="http://schemas.openxmlformats.org/officeDocument/2006/relationships/image" Target="../media/image72.jpeg"/><Relationship Id="rId4" Type="http://schemas.openxmlformats.org/officeDocument/2006/relationships/image" Target="../media/image71.jpeg"/></Relationships>
</file>

<file path=xl/drawings/_rels/drawing27.xml.rels><?xml version="1.0" encoding="UTF-8" standalone="yes"?>
<Relationships xmlns="http://schemas.openxmlformats.org/package/2006/relationships"><Relationship Id="rId8" Type="http://schemas.openxmlformats.org/officeDocument/2006/relationships/image" Target="../media/image80.jpeg"/><Relationship Id="rId13" Type="http://schemas.openxmlformats.org/officeDocument/2006/relationships/hyperlink" Target="#HJEM!A1"/><Relationship Id="rId3" Type="http://schemas.openxmlformats.org/officeDocument/2006/relationships/image" Target="../media/image75.jpeg"/><Relationship Id="rId7" Type="http://schemas.openxmlformats.org/officeDocument/2006/relationships/image" Target="../media/image79.jpeg"/><Relationship Id="rId12" Type="http://schemas.openxmlformats.org/officeDocument/2006/relationships/image" Target="../media/image84.jpeg"/><Relationship Id="rId2" Type="http://schemas.openxmlformats.org/officeDocument/2006/relationships/image" Target="../media/image74.jpeg"/><Relationship Id="rId1" Type="http://schemas.openxmlformats.org/officeDocument/2006/relationships/image" Target="../media/image73.jpeg"/><Relationship Id="rId6" Type="http://schemas.openxmlformats.org/officeDocument/2006/relationships/image" Target="../media/image78.jpeg"/><Relationship Id="rId11" Type="http://schemas.openxmlformats.org/officeDocument/2006/relationships/image" Target="../media/image83.jpeg"/><Relationship Id="rId5" Type="http://schemas.openxmlformats.org/officeDocument/2006/relationships/image" Target="../media/image77.jpeg"/><Relationship Id="rId10" Type="http://schemas.openxmlformats.org/officeDocument/2006/relationships/image" Target="../media/image82.jpeg"/><Relationship Id="rId4" Type="http://schemas.openxmlformats.org/officeDocument/2006/relationships/image" Target="../media/image76.jpeg"/><Relationship Id="rId9" Type="http://schemas.openxmlformats.org/officeDocument/2006/relationships/image" Target="../media/image81.jpeg"/><Relationship Id="rId14" Type="http://schemas.openxmlformats.org/officeDocument/2006/relationships/image" Target="../media/image1.png"/></Relationships>
</file>

<file path=xl/drawings/_rels/drawing28.xml.rels><?xml version="1.0" encoding="UTF-8" standalone="yes"?>
<Relationships xmlns="http://schemas.openxmlformats.org/package/2006/relationships"><Relationship Id="rId3" Type="http://schemas.openxmlformats.org/officeDocument/2006/relationships/image" Target="../media/image64.png"/><Relationship Id="rId2" Type="http://schemas.openxmlformats.org/officeDocument/2006/relationships/image" Target="../media/image23.png"/><Relationship Id="rId1" Type="http://schemas.openxmlformats.org/officeDocument/2006/relationships/hyperlink" Target="#HJEM!A1"/><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3</xdr:col>
      <xdr:colOff>566362</xdr:colOff>
      <xdr:row>25</xdr:row>
      <xdr:rowOff>344020</xdr:rowOff>
    </xdr:from>
    <xdr:to>
      <xdr:col>6</xdr:col>
      <xdr:colOff>534249</xdr:colOff>
      <xdr:row>27</xdr:row>
      <xdr:rowOff>229769</xdr:rowOff>
    </xdr:to>
    <xdr:sp macro="" textlink="">
      <xdr:nvSpPr>
        <xdr:cNvPr id="8" name="Rektangel 7">
          <a:hlinkClick xmlns:r="http://schemas.openxmlformats.org/officeDocument/2006/relationships" r:id="rId1"/>
          <a:extLst>
            <a:ext uri="{FF2B5EF4-FFF2-40B4-BE49-F238E27FC236}">
              <a16:creationId xmlns:a16="http://schemas.microsoft.com/office/drawing/2014/main" id="{3FBEFF38-25D4-4DA6-BF73-8B06ED6C0221}"/>
            </a:ext>
          </a:extLst>
        </xdr:cNvPr>
        <xdr:cNvSpPr>
          <a:spLocks/>
        </xdr:cNvSpPr>
      </xdr:nvSpPr>
      <xdr:spPr>
        <a:xfrm>
          <a:off x="2395162" y="6316195"/>
          <a:ext cx="1796687" cy="704899"/>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Pizza Napoli</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1-3 dage</a:t>
          </a:r>
        </a:p>
      </xdr:txBody>
    </xdr:sp>
    <xdr:clientData/>
  </xdr:twoCellAnchor>
  <xdr:twoCellAnchor editAs="oneCell">
    <xdr:from>
      <xdr:col>3</xdr:col>
      <xdr:colOff>511453</xdr:colOff>
      <xdr:row>6</xdr:row>
      <xdr:rowOff>504825</xdr:rowOff>
    </xdr:from>
    <xdr:to>
      <xdr:col>6</xdr:col>
      <xdr:colOff>479340</xdr:colOff>
      <xdr:row>9</xdr:row>
      <xdr:rowOff>170505</xdr:rowOff>
    </xdr:to>
    <xdr:sp macro="" textlink="">
      <xdr:nvSpPr>
        <xdr:cNvPr id="9" name="Rektangel 8">
          <a:hlinkClick xmlns:r="http://schemas.openxmlformats.org/officeDocument/2006/relationships" r:id="rId2"/>
          <a:extLst>
            <a:ext uri="{FF2B5EF4-FFF2-40B4-BE49-F238E27FC236}">
              <a16:creationId xmlns:a16="http://schemas.microsoft.com/office/drawing/2014/main" id="{DD2A5E89-75CE-438E-A4DD-0EA91B48A6D6}"/>
            </a:ext>
          </a:extLst>
        </xdr:cNvPr>
        <xdr:cNvSpPr/>
      </xdr:nvSpPr>
      <xdr:spPr>
        <a:xfrm>
          <a:off x="2350192" y="1415912"/>
          <a:ext cx="1806626" cy="708626"/>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Gorms grunddej</a:t>
          </a:r>
          <a:endParaRPr lang="da-DK" sz="1200" b="1" baseline="0">
            <a:solidFill>
              <a:srgbClr val="970F21"/>
            </a:solidFill>
            <a:latin typeface="Arial" panose="020B0604020202020204" pitchFamily="34" charset="0"/>
            <a:cs typeface="Arial" panose="020B0604020202020204" pitchFamily="34" charset="0"/>
          </a:endParaRPr>
        </a:p>
        <a:p>
          <a:pPr algn="ctr"/>
          <a:r>
            <a:rPr lang="da-DK" sz="1200" b="1" baseline="0">
              <a:solidFill>
                <a:srgbClr val="970F21"/>
              </a:solidFill>
              <a:latin typeface="Arial" panose="020B0604020202020204" pitchFamily="34" charset="0"/>
              <a:cs typeface="Arial" panose="020B0604020202020204" pitchFamily="34" charset="0"/>
            </a:rPr>
            <a:t>til pizza</a:t>
          </a:r>
          <a:endParaRPr lang="da-DK" sz="1200" b="1">
            <a:solidFill>
              <a:srgbClr val="970F21"/>
            </a:solidFill>
            <a:latin typeface="Arial" panose="020B0604020202020204" pitchFamily="34" charset="0"/>
            <a:cs typeface="Arial" panose="020B0604020202020204" pitchFamily="34" charset="0"/>
          </a:endParaRPr>
        </a:p>
        <a:p>
          <a:pPr algn="ctr"/>
          <a:endParaRPr lang="da-DK" sz="300" b="0" i="1">
            <a:solidFill>
              <a:srgbClr val="970F21"/>
            </a:solidFill>
            <a:latin typeface="Arial" panose="020B0604020202020204" pitchFamily="34" charset="0"/>
            <a:cs typeface="Arial" panose="020B0604020202020204" pitchFamily="34" charset="0"/>
          </a:endParaRPr>
        </a:p>
        <a:p>
          <a:pPr algn="ctr"/>
          <a:r>
            <a:rPr lang="da-DK" sz="1100" b="0" i="1">
              <a:solidFill>
                <a:srgbClr val="970F21"/>
              </a:solidFill>
              <a:latin typeface="Arial" panose="020B0604020202020204" pitchFamily="34" charset="0"/>
              <a:cs typeface="Arial" panose="020B0604020202020204" pitchFamily="34" charset="0"/>
            </a:rPr>
            <a:t>Tilberedningstid 2-3 timer</a:t>
          </a:r>
        </a:p>
      </xdr:txBody>
    </xdr:sp>
    <xdr:clientData/>
  </xdr:twoCellAnchor>
  <xdr:twoCellAnchor editAs="oneCell">
    <xdr:from>
      <xdr:col>0</xdr:col>
      <xdr:colOff>85725</xdr:colOff>
      <xdr:row>2</xdr:row>
      <xdr:rowOff>152400</xdr:rowOff>
    </xdr:from>
    <xdr:to>
      <xdr:col>0</xdr:col>
      <xdr:colOff>550873</xdr:colOff>
      <xdr:row>4</xdr:row>
      <xdr:rowOff>129541</xdr:rowOff>
    </xdr:to>
    <xdr:pic>
      <xdr:nvPicPr>
        <xdr:cNvPr id="10" name="Billede 9">
          <a:hlinkClick xmlns:r="http://schemas.openxmlformats.org/officeDocument/2006/relationships" r:id="rId3"/>
          <a:extLst>
            <a:ext uri="{FF2B5EF4-FFF2-40B4-BE49-F238E27FC236}">
              <a16:creationId xmlns:a16="http://schemas.microsoft.com/office/drawing/2014/main" id="{B240C476-BAF3-44A0-9700-BB66EA6546A6}"/>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t="-621" r="-1" b="-6014"/>
        <a:stretch/>
      </xdr:blipFill>
      <xdr:spPr>
        <a:xfrm>
          <a:off x="85725" y="152400"/>
          <a:ext cx="465148" cy="447676"/>
        </a:xfrm>
        <a:prstGeom prst="rect">
          <a:avLst/>
        </a:prstGeom>
      </xdr:spPr>
    </xdr:pic>
    <xdr:clientData fPrintsWithSheet="0"/>
  </xdr:twoCellAnchor>
  <xdr:twoCellAnchor editAs="oneCell">
    <xdr:from>
      <xdr:col>3</xdr:col>
      <xdr:colOff>511453</xdr:colOff>
      <xdr:row>10</xdr:row>
      <xdr:rowOff>152400</xdr:rowOff>
    </xdr:from>
    <xdr:to>
      <xdr:col>6</xdr:col>
      <xdr:colOff>479340</xdr:colOff>
      <xdr:row>13</xdr:row>
      <xdr:rowOff>132405</xdr:rowOff>
    </xdr:to>
    <xdr:sp macro="" textlink="">
      <xdr:nvSpPr>
        <xdr:cNvPr id="11" name="Rektangel 10">
          <a:hlinkClick xmlns:r="http://schemas.openxmlformats.org/officeDocument/2006/relationships" r:id="rId5"/>
          <a:extLst>
            <a:ext uri="{FF2B5EF4-FFF2-40B4-BE49-F238E27FC236}">
              <a16:creationId xmlns:a16="http://schemas.microsoft.com/office/drawing/2014/main" id="{1C8CB7C3-31E1-45BE-82FB-1D54649BD4A2}"/>
            </a:ext>
          </a:extLst>
        </xdr:cNvPr>
        <xdr:cNvSpPr/>
      </xdr:nvSpPr>
      <xdr:spPr>
        <a:xfrm>
          <a:off x="2350192" y="2339009"/>
          <a:ext cx="1806626" cy="708212"/>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Umuts</a:t>
          </a:r>
        </a:p>
        <a:p>
          <a:pPr algn="ctr"/>
          <a:r>
            <a:rPr lang="da-DK" sz="1200" b="1">
              <a:solidFill>
                <a:srgbClr val="970F21"/>
              </a:solidFill>
              <a:latin typeface="Arial" panose="020B0604020202020204" pitchFamily="34" charset="0"/>
              <a:cs typeface="Arial" panose="020B0604020202020204" pitchFamily="34" charset="0"/>
            </a:rPr>
            <a:t>hurtige pizzadej</a:t>
          </a:r>
        </a:p>
        <a:p>
          <a:pPr algn="ctr"/>
          <a:endParaRPr lang="da-DK" sz="300" b="0" i="1">
            <a:solidFill>
              <a:srgbClr val="970F21"/>
            </a:solidFill>
            <a:latin typeface="Arial" panose="020B0604020202020204" pitchFamily="34" charset="0"/>
            <a:cs typeface="Arial" panose="020B0604020202020204" pitchFamily="34" charset="0"/>
          </a:endParaRPr>
        </a:p>
        <a:p>
          <a:pPr algn="ctr"/>
          <a:r>
            <a:rPr lang="da-DK" sz="1100" b="0" i="1">
              <a:solidFill>
                <a:srgbClr val="970F21"/>
              </a:solidFill>
              <a:latin typeface="Arial" panose="020B0604020202020204" pitchFamily="34" charset="0"/>
              <a:cs typeface="Arial" panose="020B0604020202020204" pitchFamily="34" charset="0"/>
            </a:rPr>
            <a:t>Tilberedningstid</a:t>
          </a:r>
          <a:r>
            <a:rPr lang="da-DK" sz="1100" b="0" i="1" baseline="0">
              <a:solidFill>
                <a:srgbClr val="970F21"/>
              </a:solidFill>
              <a:latin typeface="Arial" panose="020B0604020202020204" pitchFamily="34" charset="0"/>
              <a:cs typeface="Arial" panose="020B0604020202020204" pitchFamily="34" charset="0"/>
            </a:rPr>
            <a:t> 2-3 timer</a:t>
          </a:r>
          <a:endParaRPr lang="da-DK" sz="1100" b="0" i="1">
            <a:solidFill>
              <a:srgbClr val="970F21"/>
            </a:solidFill>
            <a:latin typeface="Arial" panose="020B0604020202020204" pitchFamily="34" charset="0"/>
            <a:cs typeface="Arial" panose="020B0604020202020204" pitchFamily="34" charset="0"/>
          </a:endParaRPr>
        </a:p>
      </xdr:txBody>
    </xdr:sp>
    <xdr:clientData/>
  </xdr:twoCellAnchor>
  <xdr:twoCellAnchor editAs="oneCell">
    <xdr:from>
      <xdr:col>14</xdr:col>
      <xdr:colOff>155292</xdr:colOff>
      <xdr:row>6</xdr:row>
      <xdr:rowOff>515592</xdr:rowOff>
    </xdr:from>
    <xdr:to>
      <xdr:col>16</xdr:col>
      <xdr:colOff>96642</xdr:colOff>
      <xdr:row>8</xdr:row>
      <xdr:rowOff>16247</xdr:rowOff>
    </xdr:to>
    <xdr:sp macro="" textlink="">
      <xdr:nvSpPr>
        <xdr:cNvPr id="12" name="Rektangel 11">
          <a:hlinkClick xmlns:r="http://schemas.openxmlformats.org/officeDocument/2006/relationships" r:id="rId6"/>
          <a:extLst>
            <a:ext uri="{FF2B5EF4-FFF2-40B4-BE49-F238E27FC236}">
              <a16:creationId xmlns:a16="http://schemas.microsoft.com/office/drawing/2014/main" id="{ABAC6AE4-D2CA-461F-9746-F1D6BB9A405B}"/>
            </a:ext>
          </a:extLst>
        </xdr:cNvPr>
        <xdr:cNvSpPr/>
      </xdr:nvSpPr>
      <xdr:spPr>
        <a:xfrm>
          <a:off x="8175342" y="1991967"/>
          <a:ext cx="1332000" cy="285515"/>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Mængde</a:t>
          </a:r>
          <a:r>
            <a:rPr lang="da-DK" sz="1200" b="1" baseline="0">
              <a:solidFill>
                <a:srgbClr val="970F21"/>
              </a:solidFill>
              <a:latin typeface="Arial" panose="020B0604020202020204" pitchFamily="34" charset="0"/>
              <a:cs typeface="Arial" panose="020B0604020202020204" pitchFamily="34" charset="0"/>
            </a:rPr>
            <a:t>+antal</a:t>
          </a:r>
          <a:endParaRPr lang="da-DK" sz="1200" b="1">
            <a:solidFill>
              <a:srgbClr val="970F21"/>
            </a:solidFill>
            <a:latin typeface="Arial" panose="020B0604020202020204" pitchFamily="34" charset="0"/>
            <a:cs typeface="Arial" panose="020B0604020202020204" pitchFamily="34" charset="0"/>
          </a:endParaRPr>
        </a:p>
      </xdr:txBody>
    </xdr:sp>
    <xdr:clientData/>
  </xdr:twoCellAnchor>
  <xdr:twoCellAnchor editAs="oneCell">
    <xdr:from>
      <xdr:col>11</xdr:col>
      <xdr:colOff>507717</xdr:colOff>
      <xdr:row>6</xdr:row>
      <xdr:rowOff>515205</xdr:rowOff>
    </xdr:from>
    <xdr:to>
      <xdr:col>14</xdr:col>
      <xdr:colOff>16632</xdr:colOff>
      <xdr:row>8</xdr:row>
      <xdr:rowOff>16274</xdr:rowOff>
    </xdr:to>
    <xdr:sp macro="" textlink="">
      <xdr:nvSpPr>
        <xdr:cNvPr id="13" name="Rektangel 12">
          <a:hlinkClick xmlns:r="http://schemas.openxmlformats.org/officeDocument/2006/relationships" r:id="rId7"/>
          <a:extLst>
            <a:ext uri="{FF2B5EF4-FFF2-40B4-BE49-F238E27FC236}">
              <a16:creationId xmlns:a16="http://schemas.microsoft.com/office/drawing/2014/main" id="{711F9139-8CAD-433B-A1CF-8906DCEE4D7A}"/>
            </a:ext>
          </a:extLst>
        </xdr:cNvPr>
        <xdr:cNvSpPr/>
      </xdr:nvSpPr>
      <xdr:spPr>
        <a:xfrm>
          <a:off x="6698967" y="1991580"/>
          <a:ext cx="1332000" cy="285929"/>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Mel</a:t>
          </a:r>
        </a:p>
      </xdr:txBody>
    </xdr:sp>
    <xdr:clientData/>
  </xdr:twoCellAnchor>
  <xdr:twoCellAnchor editAs="oneCell">
    <xdr:from>
      <xdr:col>14</xdr:col>
      <xdr:colOff>175594</xdr:colOff>
      <xdr:row>8</xdr:row>
      <xdr:rowOff>132400</xdr:rowOff>
    </xdr:from>
    <xdr:to>
      <xdr:col>16</xdr:col>
      <xdr:colOff>116944</xdr:colOff>
      <xdr:row>9</xdr:row>
      <xdr:rowOff>174488</xdr:rowOff>
    </xdr:to>
    <xdr:sp macro="" textlink="">
      <xdr:nvSpPr>
        <xdr:cNvPr id="14" name="Rektangel 13">
          <a:hlinkClick xmlns:r="http://schemas.openxmlformats.org/officeDocument/2006/relationships" r:id="rId8"/>
          <a:extLst>
            <a:ext uri="{FF2B5EF4-FFF2-40B4-BE49-F238E27FC236}">
              <a16:creationId xmlns:a16="http://schemas.microsoft.com/office/drawing/2014/main" id="{E52F152D-F32B-4C42-BD96-8132A3B46D9E}"/>
            </a:ext>
          </a:extLst>
        </xdr:cNvPr>
        <xdr:cNvSpPr>
          <a:spLocks/>
        </xdr:cNvSpPr>
      </xdr:nvSpPr>
      <xdr:spPr>
        <a:xfrm>
          <a:off x="8195644" y="2399350"/>
          <a:ext cx="1332000" cy="285928"/>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Skaler opskrift</a:t>
          </a:r>
        </a:p>
      </xdr:txBody>
    </xdr:sp>
    <xdr:clientData/>
  </xdr:twoCellAnchor>
  <xdr:twoCellAnchor editAs="oneCell">
    <xdr:from>
      <xdr:col>7</xdr:col>
      <xdr:colOff>204192</xdr:colOff>
      <xdr:row>25</xdr:row>
      <xdr:rowOff>344020</xdr:rowOff>
    </xdr:from>
    <xdr:to>
      <xdr:col>11</xdr:col>
      <xdr:colOff>284805</xdr:colOff>
      <xdr:row>27</xdr:row>
      <xdr:rowOff>226870</xdr:rowOff>
    </xdr:to>
    <xdr:sp macro="" textlink="">
      <xdr:nvSpPr>
        <xdr:cNvPr id="3" name="Rektangel 2">
          <a:hlinkClick xmlns:r="http://schemas.openxmlformats.org/officeDocument/2006/relationships" r:id="rId9"/>
          <a:extLst>
            <a:ext uri="{FF2B5EF4-FFF2-40B4-BE49-F238E27FC236}">
              <a16:creationId xmlns:a16="http://schemas.microsoft.com/office/drawing/2014/main" id="{C5534FD1-870B-49CF-9474-043C39CAC2EE}"/>
            </a:ext>
          </a:extLst>
        </xdr:cNvPr>
        <xdr:cNvSpPr/>
      </xdr:nvSpPr>
      <xdr:spPr>
        <a:xfrm>
          <a:off x="4664133" y="6283138"/>
          <a:ext cx="1799147" cy="712085"/>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Detroit style pizza</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4-5 timer</a:t>
          </a:r>
        </a:p>
      </xdr:txBody>
    </xdr:sp>
    <xdr:clientData/>
  </xdr:twoCellAnchor>
  <xdr:twoCellAnchor editAs="oneCell">
    <xdr:from>
      <xdr:col>0</xdr:col>
      <xdr:colOff>269406</xdr:colOff>
      <xdr:row>25</xdr:row>
      <xdr:rowOff>366432</xdr:rowOff>
    </xdr:from>
    <xdr:to>
      <xdr:col>3</xdr:col>
      <xdr:colOff>248723</xdr:colOff>
      <xdr:row>27</xdr:row>
      <xdr:rowOff>249282</xdr:rowOff>
    </xdr:to>
    <xdr:sp macro="" textlink="">
      <xdr:nvSpPr>
        <xdr:cNvPr id="15" name="Rektangel 14">
          <a:hlinkClick xmlns:r="http://schemas.openxmlformats.org/officeDocument/2006/relationships" r:id="rId10"/>
          <a:extLst>
            <a:ext uri="{FF2B5EF4-FFF2-40B4-BE49-F238E27FC236}">
              <a16:creationId xmlns:a16="http://schemas.microsoft.com/office/drawing/2014/main" id="{BD6D4C62-45ED-4005-9629-F2EDEEC5F54A}"/>
            </a:ext>
          </a:extLst>
        </xdr:cNvPr>
        <xdr:cNvSpPr/>
      </xdr:nvSpPr>
      <xdr:spPr>
        <a:xfrm>
          <a:off x="269406" y="6305550"/>
          <a:ext cx="1783240" cy="712085"/>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Surdejspizza</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1-2 dage</a:t>
          </a:r>
        </a:p>
      </xdr:txBody>
    </xdr:sp>
    <xdr:clientData/>
  </xdr:twoCellAnchor>
  <xdr:twoCellAnchor editAs="oneCell">
    <xdr:from>
      <xdr:col>0</xdr:col>
      <xdr:colOff>291353</xdr:colOff>
      <xdr:row>36</xdr:row>
      <xdr:rowOff>79001</xdr:rowOff>
    </xdr:from>
    <xdr:to>
      <xdr:col>3</xdr:col>
      <xdr:colOff>268800</xdr:colOff>
      <xdr:row>39</xdr:row>
      <xdr:rowOff>96657</xdr:rowOff>
    </xdr:to>
    <xdr:sp macro="" textlink="">
      <xdr:nvSpPr>
        <xdr:cNvPr id="5" name="Rektangel 4">
          <a:hlinkClick xmlns:r="http://schemas.openxmlformats.org/officeDocument/2006/relationships" r:id="rId11"/>
          <a:extLst>
            <a:ext uri="{FF2B5EF4-FFF2-40B4-BE49-F238E27FC236}">
              <a16:creationId xmlns:a16="http://schemas.microsoft.com/office/drawing/2014/main" id="{4D87BA54-99AA-41CF-A808-5187B7CA135C}"/>
            </a:ext>
          </a:extLst>
        </xdr:cNvPr>
        <xdr:cNvSpPr/>
      </xdr:nvSpPr>
      <xdr:spPr>
        <a:xfrm>
          <a:off x="291353" y="9223001"/>
          <a:ext cx="1792800" cy="716007"/>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Pizza med bageenzym</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1-2 dage</a:t>
          </a:r>
        </a:p>
      </xdr:txBody>
    </xdr:sp>
    <xdr:clientData/>
  </xdr:twoCellAnchor>
  <xdr:twoCellAnchor editAs="oneCell">
    <xdr:from>
      <xdr:col>0</xdr:col>
      <xdr:colOff>282853</xdr:colOff>
      <xdr:row>14</xdr:row>
      <xdr:rowOff>161926</xdr:rowOff>
    </xdr:from>
    <xdr:to>
      <xdr:col>3</xdr:col>
      <xdr:colOff>250740</xdr:colOff>
      <xdr:row>17</xdr:row>
      <xdr:rowOff>149551</xdr:rowOff>
    </xdr:to>
    <xdr:sp macro="" textlink="">
      <xdr:nvSpPr>
        <xdr:cNvPr id="7" name="Rektangel 6">
          <a:hlinkClick xmlns:r="http://schemas.openxmlformats.org/officeDocument/2006/relationships" r:id="rId12"/>
          <a:extLst>
            <a:ext uri="{FF2B5EF4-FFF2-40B4-BE49-F238E27FC236}">
              <a16:creationId xmlns:a16="http://schemas.microsoft.com/office/drawing/2014/main" id="{B984C996-4E1E-4492-87FF-2AD50620748C}"/>
            </a:ext>
          </a:extLst>
        </xdr:cNvPr>
        <xdr:cNvSpPr/>
      </xdr:nvSpPr>
      <xdr:spPr>
        <a:xfrm>
          <a:off x="282853" y="3286126"/>
          <a:ext cx="1796687" cy="70200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Vitos poolish pizza</a:t>
          </a:r>
          <a:br>
            <a:rPr lang="da-DK" sz="1200" b="1">
              <a:solidFill>
                <a:srgbClr val="970F21"/>
              </a:solidFill>
              <a:latin typeface="Arial" panose="020B0604020202020204" pitchFamily="34" charset="0"/>
              <a:cs typeface="Arial" panose="020B0604020202020204" pitchFamily="34" charset="0"/>
            </a:rPr>
          </a:br>
          <a:r>
            <a:rPr lang="da-DK" sz="1200" b="1">
              <a:solidFill>
                <a:srgbClr val="970F21"/>
              </a:solidFill>
              <a:latin typeface="Arial" panose="020B0604020202020204" pitchFamily="34" charset="0"/>
              <a:cs typeface="Arial" panose="020B0604020202020204" pitchFamily="34" charset="0"/>
            </a:rPr>
            <a:t>(3</a:t>
          </a:r>
          <a:r>
            <a:rPr lang="da-DK" sz="1200" b="1" baseline="0">
              <a:solidFill>
                <a:srgbClr val="970F21"/>
              </a:solidFill>
              <a:latin typeface="Arial" panose="020B0604020202020204" pitchFamily="34" charset="0"/>
              <a:cs typeface="Arial" panose="020B0604020202020204" pitchFamily="34" charset="0"/>
            </a:rPr>
            <a:t> varianter</a:t>
          </a:r>
          <a:r>
            <a:rPr lang="da-DK" sz="1200" b="1">
              <a:solidFill>
                <a:srgbClr val="970F21"/>
              </a:solidFill>
              <a:latin typeface="Arial" panose="020B0604020202020204" pitchFamily="34" charset="0"/>
              <a:cs typeface="Arial" panose="020B0604020202020204" pitchFamily="34" charset="0"/>
            </a:rPr>
            <a:t>)</a:t>
          </a:r>
        </a:p>
        <a:p>
          <a:pPr algn="ctr"/>
          <a:endParaRPr lang="da-DK" sz="300" b="0" i="1">
            <a:solidFill>
              <a:srgbClr val="970F21"/>
            </a:solidFill>
            <a:latin typeface="Arial" panose="020B0604020202020204" pitchFamily="34" charset="0"/>
            <a:cs typeface="Arial" panose="020B0604020202020204" pitchFamily="34" charset="0"/>
          </a:endParaRPr>
        </a:p>
        <a:p>
          <a:pPr algn="ctr"/>
          <a:r>
            <a:rPr lang="da-DK" sz="1100" b="0" i="1">
              <a:solidFill>
                <a:srgbClr val="970F21"/>
              </a:solidFill>
              <a:latin typeface="Arial" panose="020B0604020202020204" pitchFamily="34" charset="0"/>
              <a:cs typeface="Arial" panose="020B0604020202020204" pitchFamily="34" charset="0"/>
            </a:rPr>
            <a:t>Tilberedningstid 1-2 dage</a:t>
          </a:r>
        </a:p>
      </xdr:txBody>
    </xdr:sp>
    <xdr:clientData/>
  </xdr:twoCellAnchor>
  <xdr:twoCellAnchor editAs="oneCell">
    <xdr:from>
      <xdr:col>0</xdr:col>
      <xdr:colOff>292375</xdr:colOff>
      <xdr:row>31</xdr:row>
      <xdr:rowOff>287991</xdr:rowOff>
    </xdr:from>
    <xdr:to>
      <xdr:col>3</xdr:col>
      <xdr:colOff>250737</xdr:colOff>
      <xdr:row>34</xdr:row>
      <xdr:rowOff>193253</xdr:rowOff>
    </xdr:to>
    <xdr:sp macro="" textlink="">
      <xdr:nvSpPr>
        <xdr:cNvPr id="6" name="Rektangel 5">
          <a:hlinkClick xmlns:r="http://schemas.openxmlformats.org/officeDocument/2006/relationships" r:id="rId13"/>
          <a:extLst>
            <a:ext uri="{FF2B5EF4-FFF2-40B4-BE49-F238E27FC236}">
              <a16:creationId xmlns:a16="http://schemas.microsoft.com/office/drawing/2014/main" id="{11B5ACE3-FA29-4AE8-A284-09F10B83CF78}"/>
            </a:ext>
          </a:extLst>
        </xdr:cNvPr>
        <xdr:cNvSpPr/>
      </xdr:nvSpPr>
      <xdr:spPr>
        <a:xfrm>
          <a:off x="292375" y="8221756"/>
          <a:ext cx="1783240" cy="712085"/>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Poolish pizza</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2 dage</a:t>
          </a:r>
        </a:p>
      </xdr:txBody>
    </xdr:sp>
    <xdr:clientData/>
  </xdr:twoCellAnchor>
  <xdr:twoCellAnchor editAs="oneCell">
    <xdr:from>
      <xdr:col>14</xdr:col>
      <xdr:colOff>185118</xdr:colOff>
      <xdr:row>10</xdr:row>
      <xdr:rowOff>83368</xdr:rowOff>
    </xdr:from>
    <xdr:to>
      <xdr:col>16</xdr:col>
      <xdr:colOff>134088</xdr:colOff>
      <xdr:row>11</xdr:row>
      <xdr:rowOff>131173</xdr:rowOff>
    </xdr:to>
    <xdr:sp macro="" textlink="">
      <xdr:nvSpPr>
        <xdr:cNvPr id="20" name="Rektangel 19">
          <a:hlinkClick xmlns:r="http://schemas.openxmlformats.org/officeDocument/2006/relationships" r:id="rId14"/>
          <a:extLst>
            <a:ext uri="{FF2B5EF4-FFF2-40B4-BE49-F238E27FC236}">
              <a16:creationId xmlns:a16="http://schemas.microsoft.com/office/drawing/2014/main" id="{7FE8792F-3137-48CE-BA3C-319293BAF4D4}"/>
            </a:ext>
          </a:extLst>
        </xdr:cNvPr>
        <xdr:cNvSpPr/>
      </xdr:nvSpPr>
      <xdr:spPr>
        <a:xfrm>
          <a:off x="8205168" y="2826568"/>
          <a:ext cx="1332000" cy="28593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Toppings</a:t>
          </a:r>
        </a:p>
      </xdr:txBody>
    </xdr:sp>
    <xdr:clientData/>
  </xdr:twoCellAnchor>
  <xdr:twoCellAnchor editAs="oneCell">
    <xdr:from>
      <xdr:col>11</xdr:col>
      <xdr:colOff>534645</xdr:colOff>
      <xdr:row>13</xdr:row>
      <xdr:rowOff>223708</xdr:rowOff>
    </xdr:from>
    <xdr:to>
      <xdr:col>14</xdr:col>
      <xdr:colOff>38100</xdr:colOff>
      <xdr:row>15</xdr:row>
      <xdr:rowOff>18148</xdr:rowOff>
    </xdr:to>
    <xdr:sp macro="" textlink="">
      <xdr:nvSpPr>
        <xdr:cNvPr id="22" name="Rektangel 21">
          <a:hlinkClick xmlns:r="http://schemas.openxmlformats.org/officeDocument/2006/relationships" r:id="rId15"/>
          <a:extLst>
            <a:ext uri="{FF2B5EF4-FFF2-40B4-BE49-F238E27FC236}">
              <a16:creationId xmlns:a16="http://schemas.microsoft.com/office/drawing/2014/main" id="{91F154FF-E9AE-4E14-869B-A5D805D16737}"/>
            </a:ext>
          </a:extLst>
        </xdr:cNvPr>
        <xdr:cNvSpPr>
          <a:spLocks/>
        </xdr:cNvSpPr>
      </xdr:nvSpPr>
      <xdr:spPr>
        <a:xfrm>
          <a:off x="6725895" y="3681283"/>
          <a:ext cx="1332255" cy="28593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Chili og hvidløg</a:t>
          </a:r>
        </a:p>
      </xdr:txBody>
    </xdr:sp>
    <xdr:clientData/>
  </xdr:twoCellAnchor>
  <xdr:twoCellAnchor>
    <xdr:from>
      <xdr:col>6</xdr:col>
      <xdr:colOff>643147</xdr:colOff>
      <xdr:row>6</xdr:row>
      <xdr:rowOff>504825</xdr:rowOff>
    </xdr:from>
    <xdr:to>
      <xdr:col>6</xdr:col>
      <xdr:colOff>643147</xdr:colOff>
      <xdr:row>22</xdr:row>
      <xdr:rowOff>19050</xdr:rowOff>
    </xdr:to>
    <xdr:cxnSp macro="">
      <xdr:nvCxnSpPr>
        <xdr:cNvPr id="24" name="Lige forbindelse 23">
          <a:extLst>
            <a:ext uri="{FF2B5EF4-FFF2-40B4-BE49-F238E27FC236}">
              <a16:creationId xmlns:a16="http://schemas.microsoft.com/office/drawing/2014/main" id="{8D7CF88A-4866-2225-7BF7-8237ED7F4F8F}"/>
            </a:ext>
          </a:extLst>
        </xdr:cNvPr>
        <xdr:cNvCxnSpPr/>
      </xdr:nvCxnSpPr>
      <xdr:spPr>
        <a:xfrm>
          <a:off x="4300747" y="1981200"/>
          <a:ext cx="0" cy="2924175"/>
        </a:xfrm>
        <a:prstGeom prst="line">
          <a:avLst/>
        </a:prstGeom>
        <a:ln>
          <a:solidFill>
            <a:schemeClr val="bg1"/>
          </a:solidFill>
        </a:ln>
        <a:effectLst>
          <a:outerShdw blurRad="50800" dist="38100" algn="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306872</xdr:colOff>
      <xdr:row>6</xdr:row>
      <xdr:rowOff>466725</xdr:rowOff>
    </xdr:from>
    <xdr:to>
      <xdr:col>11</xdr:col>
      <xdr:colOff>306872</xdr:colOff>
      <xdr:row>22</xdr:row>
      <xdr:rowOff>9525</xdr:rowOff>
    </xdr:to>
    <xdr:cxnSp macro="">
      <xdr:nvCxnSpPr>
        <xdr:cNvPr id="25" name="Lige forbindelse 24">
          <a:extLst>
            <a:ext uri="{FF2B5EF4-FFF2-40B4-BE49-F238E27FC236}">
              <a16:creationId xmlns:a16="http://schemas.microsoft.com/office/drawing/2014/main" id="{21A9F6CE-3F17-4BA6-B00D-31EACC2C1C18}"/>
            </a:ext>
          </a:extLst>
        </xdr:cNvPr>
        <xdr:cNvCxnSpPr/>
      </xdr:nvCxnSpPr>
      <xdr:spPr>
        <a:xfrm>
          <a:off x="6498122" y="1943100"/>
          <a:ext cx="0" cy="2952750"/>
        </a:xfrm>
        <a:prstGeom prst="line">
          <a:avLst/>
        </a:prstGeom>
        <a:ln>
          <a:solidFill>
            <a:schemeClr val="bg1"/>
          </a:solidFill>
        </a:ln>
        <a:effectLst>
          <a:outerShdw blurRad="50800" dist="38100" algn="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387971</xdr:colOff>
      <xdr:row>6</xdr:row>
      <xdr:rowOff>45729</xdr:rowOff>
    </xdr:from>
    <xdr:to>
      <xdr:col>2</xdr:col>
      <xdr:colOff>245553</xdr:colOff>
      <xdr:row>6</xdr:row>
      <xdr:rowOff>342551</xdr:rowOff>
    </xdr:to>
    <xdr:pic>
      <xdr:nvPicPr>
        <xdr:cNvPr id="23" name="Billede 22" descr="Flag of Italy - Waving">
          <a:extLst>
            <a:ext uri="{FF2B5EF4-FFF2-40B4-BE49-F238E27FC236}">
              <a16:creationId xmlns:a16="http://schemas.microsoft.com/office/drawing/2014/main" id="{886C6D21-BEF7-12CB-CC10-46D9CE4BA04F}"/>
            </a:ext>
          </a:extLst>
        </xdr:cNvPr>
        <xdr:cNvPicPr>
          <a:picLocks noChangeAspect="1" noChangeArrowheads="1"/>
        </xdr:cNvPicPr>
      </xdr:nvPicPr>
      <xdr:blipFill>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bwMode="auto">
        <a:xfrm rot="20707217">
          <a:off x="1012811" y="1501149"/>
          <a:ext cx="470992" cy="2968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37704</xdr:colOff>
      <xdr:row>6</xdr:row>
      <xdr:rowOff>43145</xdr:rowOff>
    </xdr:from>
    <xdr:to>
      <xdr:col>8</xdr:col>
      <xdr:colOff>136872</xdr:colOff>
      <xdr:row>6</xdr:row>
      <xdr:rowOff>324240</xdr:rowOff>
    </xdr:to>
    <xdr:pic>
      <xdr:nvPicPr>
        <xdr:cNvPr id="26" name="Billede 25" descr="United states, us, usa, waving, american flag, north america icon - Download on Iconfinder">
          <a:extLst>
            <a:ext uri="{FF2B5EF4-FFF2-40B4-BE49-F238E27FC236}">
              <a16:creationId xmlns:a16="http://schemas.microsoft.com/office/drawing/2014/main" id="{02B4D28E-30BF-90A1-D0A2-9FEE7DDEDE2A}"/>
            </a:ext>
          </a:extLst>
        </xdr:cNvPr>
        <xdr:cNvPicPr>
          <a:picLocks noChangeAspect="1" noChangeArrowheads="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a:stretch/>
      </xdr:blipFill>
      <xdr:spPr bwMode="auto">
        <a:xfrm rot="20517199">
          <a:off x="4543443" y="954232"/>
          <a:ext cx="345079" cy="26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852117</xdr:colOff>
      <xdr:row>18</xdr:row>
      <xdr:rowOff>108585</xdr:rowOff>
    </xdr:from>
    <xdr:to>
      <xdr:col>11</xdr:col>
      <xdr:colOff>117224</xdr:colOff>
      <xdr:row>21</xdr:row>
      <xdr:rowOff>117165</xdr:rowOff>
    </xdr:to>
    <xdr:sp macro="" textlink="">
      <xdr:nvSpPr>
        <xdr:cNvPr id="2" name="Rektangel 1">
          <a:hlinkClick xmlns:r="http://schemas.openxmlformats.org/officeDocument/2006/relationships" r:id="rId18"/>
          <a:extLst>
            <a:ext uri="{FF2B5EF4-FFF2-40B4-BE49-F238E27FC236}">
              <a16:creationId xmlns:a16="http://schemas.microsoft.com/office/drawing/2014/main" id="{9F156E70-033B-46CE-88E7-A054B748E317}"/>
            </a:ext>
          </a:extLst>
        </xdr:cNvPr>
        <xdr:cNvSpPr/>
      </xdr:nvSpPr>
      <xdr:spPr>
        <a:xfrm>
          <a:off x="4601157" y="4650105"/>
          <a:ext cx="1863527" cy="69438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da-DK" sz="1200" b="1">
              <a:solidFill>
                <a:srgbClr val="970F21"/>
              </a:solidFill>
              <a:latin typeface="Arial" panose="020B0604020202020204" pitchFamily="34" charset="0"/>
              <a:ea typeface="+mn-ea"/>
              <a:cs typeface="Arial" panose="020B0604020202020204" pitchFamily="34" charset="0"/>
            </a:rPr>
            <a:t>Oskar Montanos</a:t>
          </a:r>
        </a:p>
        <a:p>
          <a:pPr algn="ctr"/>
          <a:r>
            <a:rPr lang="da-DK" sz="1200" b="1">
              <a:solidFill>
                <a:srgbClr val="970F21"/>
              </a:solidFill>
              <a:latin typeface="Arial" panose="020B0604020202020204" pitchFamily="34" charset="0"/>
              <a:cs typeface="Arial" panose="020B0604020202020204" pitchFamily="34" charset="0"/>
            </a:rPr>
            <a:t>New York Style pizza</a:t>
          </a:r>
        </a:p>
        <a:p>
          <a:pPr algn="ctr"/>
          <a:br>
            <a:rPr lang="da-DK" sz="300" b="0" i="1">
              <a:solidFill>
                <a:srgbClr val="970F21"/>
              </a:solidFill>
              <a:latin typeface="Arial" panose="020B0604020202020204" pitchFamily="34" charset="0"/>
              <a:cs typeface="Arial" panose="020B0604020202020204" pitchFamily="34" charset="0"/>
            </a:rPr>
          </a:br>
          <a:r>
            <a:rPr lang="da-DK" sz="1100" b="0" i="1">
              <a:solidFill>
                <a:srgbClr val="970F21"/>
              </a:solidFill>
              <a:latin typeface="Arial" panose="020B0604020202020204" pitchFamily="34" charset="0"/>
              <a:cs typeface="Arial" panose="020B0604020202020204" pitchFamily="34" charset="0"/>
            </a:rPr>
            <a:t>Tilberedningstid 1 dag</a:t>
          </a:r>
        </a:p>
      </xdr:txBody>
    </xdr:sp>
    <xdr:clientData/>
  </xdr:twoCellAnchor>
  <xdr:twoCellAnchor editAs="oneCell">
    <xdr:from>
      <xdr:col>3</xdr:col>
      <xdr:colOff>569163</xdr:colOff>
      <xdr:row>28</xdr:row>
      <xdr:rowOff>182095</xdr:rowOff>
    </xdr:from>
    <xdr:to>
      <xdr:col>6</xdr:col>
      <xdr:colOff>537050</xdr:colOff>
      <xdr:row>31</xdr:row>
      <xdr:rowOff>18329</xdr:rowOff>
    </xdr:to>
    <xdr:sp macro="" textlink="">
      <xdr:nvSpPr>
        <xdr:cNvPr id="28" name="Rektangel 27">
          <a:hlinkClick xmlns:r="http://schemas.openxmlformats.org/officeDocument/2006/relationships" r:id="rId19" tooltip="V1 er god om sommeren, da den koldhæver."/>
          <a:extLst>
            <a:ext uri="{FF2B5EF4-FFF2-40B4-BE49-F238E27FC236}">
              <a16:creationId xmlns:a16="http://schemas.microsoft.com/office/drawing/2014/main" id="{574F468A-7707-BF78-19F3-DDE7966E0E3A}"/>
            </a:ext>
            <a:ext uri="{C183D7F6-B498-43B3-948B-1728B52AA6E4}">
              <adec:decorative xmlns:adec="http://schemas.microsoft.com/office/drawing/2017/decorative" val="0"/>
            </a:ext>
          </a:extLst>
        </xdr:cNvPr>
        <xdr:cNvSpPr/>
      </xdr:nvSpPr>
      <xdr:spPr>
        <a:xfrm>
          <a:off x="2397963" y="7259170"/>
          <a:ext cx="1796687" cy="708724"/>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Biga pizza v1</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2-3 dage</a:t>
          </a:r>
        </a:p>
      </xdr:txBody>
    </xdr:sp>
    <xdr:clientData/>
  </xdr:twoCellAnchor>
  <xdr:twoCellAnchor editAs="oneCell">
    <xdr:from>
      <xdr:col>7</xdr:col>
      <xdr:colOff>0</xdr:colOff>
      <xdr:row>10</xdr:row>
      <xdr:rowOff>152400</xdr:rowOff>
    </xdr:from>
    <xdr:to>
      <xdr:col>11</xdr:col>
      <xdr:colOff>93782</xdr:colOff>
      <xdr:row>13</xdr:row>
      <xdr:rowOff>132405</xdr:rowOff>
    </xdr:to>
    <xdr:sp macro="" textlink="">
      <xdr:nvSpPr>
        <xdr:cNvPr id="21" name="Rektangel 20">
          <a:hlinkClick xmlns:r="http://schemas.openxmlformats.org/officeDocument/2006/relationships" r:id="rId20"/>
          <a:extLst>
            <a:ext uri="{FF2B5EF4-FFF2-40B4-BE49-F238E27FC236}">
              <a16:creationId xmlns:a16="http://schemas.microsoft.com/office/drawing/2014/main" id="{D325C36A-44A7-4CB3-B47B-B01051B99603}"/>
            </a:ext>
          </a:extLst>
        </xdr:cNvPr>
        <xdr:cNvSpPr/>
      </xdr:nvSpPr>
      <xdr:spPr>
        <a:xfrm>
          <a:off x="4486275" y="2895600"/>
          <a:ext cx="1798757" cy="70200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da-DK" sz="1200" b="1">
              <a:solidFill>
                <a:srgbClr val="970F21"/>
              </a:solidFill>
              <a:latin typeface="Arial" panose="020B0604020202020204" pitchFamily="34" charset="0"/>
              <a:ea typeface="+mn-ea"/>
              <a:cs typeface="Arial" panose="020B0604020202020204" pitchFamily="34" charset="0"/>
            </a:rPr>
            <a:t>Tony Gemignani's Master Dough (NY)</a:t>
          </a:r>
          <a:br>
            <a:rPr lang="da-DK" sz="300" b="0" i="1">
              <a:solidFill>
                <a:srgbClr val="970F21"/>
              </a:solidFill>
              <a:latin typeface="Arial" panose="020B0604020202020204" pitchFamily="34" charset="0"/>
              <a:cs typeface="Arial" panose="020B0604020202020204" pitchFamily="34" charset="0"/>
            </a:rPr>
          </a:br>
          <a:r>
            <a:rPr lang="da-DK" sz="1100" b="0" i="1">
              <a:solidFill>
                <a:srgbClr val="970F21"/>
              </a:solidFill>
              <a:latin typeface="Arial" panose="020B0604020202020204" pitchFamily="34" charset="0"/>
              <a:cs typeface="Arial" panose="020B0604020202020204" pitchFamily="34" charset="0"/>
            </a:rPr>
            <a:t>Tilberedningstid 2-3 dage</a:t>
          </a:r>
        </a:p>
      </xdr:txBody>
    </xdr:sp>
    <xdr:clientData/>
  </xdr:twoCellAnchor>
  <xdr:twoCellAnchor editAs="oneCell">
    <xdr:from>
      <xdr:col>3</xdr:col>
      <xdr:colOff>587657</xdr:colOff>
      <xdr:row>31</xdr:row>
      <xdr:rowOff>255494</xdr:rowOff>
    </xdr:from>
    <xdr:to>
      <xdr:col>6</xdr:col>
      <xdr:colOff>555545</xdr:colOff>
      <xdr:row>34</xdr:row>
      <xdr:rowOff>174539</xdr:rowOff>
    </xdr:to>
    <xdr:sp macro="" textlink="">
      <xdr:nvSpPr>
        <xdr:cNvPr id="31" name="Rektangel 30">
          <a:hlinkClick xmlns:r="http://schemas.openxmlformats.org/officeDocument/2006/relationships" r:id="rId21" tooltip="V2 er god når der ikke er alt for varmt i lokalet. Så kan den fermentere ved stuetemperatur."/>
          <a:extLst>
            <a:ext uri="{FF2B5EF4-FFF2-40B4-BE49-F238E27FC236}">
              <a16:creationId xmlns:a16="http://schemas.microsoft.com/office/drawing/2014/main" id="{FD8737DB-65B5-9311-AB4D-232CD6C52160}"/>
            </a:ext>
          </a:extLst>
        </xdr:cNvPr>
        <xdr:cNvSpPr/>
      </xdr:nvSpPr>
      <xdr:spPr>
        <a:xfrm>
          <a:off x="2416457" y="8189819"/>
          <a:ext cx="1796688" cy="702000"/>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Biga pizza v2</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2-3 dage</a:t>
          </a:r>
        </a:p>
      </xdr:txBody>
    </xdr:sp>
    <xdr:clientData/>
  </xdr:twoCellAnchor>
  <xdr:twoCellAnchor>
    <xdr:from>
      <xdr:col>11</xdr:col>
      <xdr:colOff>630722</xdr:colOff>
      <xdr:row>25</xdr:row>
      <xdr:rowOff>171450</xdr:rowOff>
    </xdr:from>
    <xdr:to>
      <xdr:col>11</xdr:col>
      <xdr:colOff>630722</xdr:colOff>
      <xdr:row>40</xdr:row>
      <xdr:rowOff>85725</xdr:rowOff>
    </xdr:to>
    <xdr:cxnSp macro="">
      <xdr:nvCxnSpPr>
        <xdr:cNvPr id="18" name="Lige forbindelse 17">
          <a:extLst>
            <a:ext uri="{FF2B5EF4-FFF2-40B4-BE49-F238E27FC236}">
              <a16:creationId xmlns:a16="http://schemas.microsoft.com/office/drawing/2014/main" id="{A8BF8F6A-BAA2-4870-B7E3-AFAFD6D0D02A}"/>
            </a:ext>
          </a:extLst>
        </xdr:cNvPr>
        <xdr:cNvCxnSpPr/>
      </xdr:nvCxnSpPr>
      <xdr:spPr>
        <a:xfrm>
          <a:off x="6821972" y="6143625"/>
          <a:ext cx="0" cy="4019550"/>
        </a:xfrm>
        <a:prstGeom prst="line">
          <a:avLst/>
        </a:prstGeom>
        <a:ln>
          <a:solidFill>
            <a:schemeClr val="bg1"/>
          </a:solidFill>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783122</xdr:colOff>
      <xdr:row>25</xdr:row>
      <xdr:rowOff>180975</xdr:rowOff>
    </xdr:from>
    <xdr:to>
      <xdr:col>6</xdr:col>
      <xdr:colOff>783122</xdr:colOff>
      <xdr:row>40</xdr:row>
      <xdr:rowOff>114300</xdr:rowOff>
    </xdr:to>
    <xdr:cxnSp macro="">
      <xdr:nvCxnSpPr>
        <xdr:cNvPr id="27" name="Lige forbindelse 26">
          <a:extLst>
            <a:ext uri="{FF2B5EF4-FFF2-40B4-BE49-F238E27FC236}">
              <a16:creationId xmlns:a16="http://schemas.microsoft.com/office/drawing/2014/main" id="{D13155B5-95DB-4B0A-9C92-4E2CB40A2E3A}"/>
            </a:ext>
          </a:extLst>
        </xdr:cNvPr>
        <xdr:cNvCxnSpPr/>
      </xdr:nvCxnSpPr>
      <xdr:spPr>
        <a:xfrm>
          <a:off x="4440722" y="6153150"/>
          <a:ext cx="0" cy="4038600"/>
        </a:xfrm>
        <a:prstGeom prst="line">
          <a:avLst/>
        </a:prstGeom>
        <a:ln>
          <a:solidFill>
            <a:schemeClr val="bg1"/>
          </a:solidFill>
        </a:ln>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200025</xdr:colOff>
      <xdr:row>38</xdr:row>
      <xdr:rowOff>219075</xdr:rowOff>
    </xdr:from>
    <xdr:to>
      <xdr:col>13</xdr:col>
      <xdr:colOff>552405</xdr:colOff>
      <xdr:row>40</xdr:row>
      <xdr:rowOff>95205</xdr:rowOff>
    </xdr:to>
    <xdr:pic>
      <xdr:nvPicPr>
        <xdr:cNvPr id="36" name="Billede 35">
          <a:hlinkClick xmlns:r="http://schemas.openxmlformats.org/officeDocument/2006/relationships" r:id="rId22"/>
          <a:extLst>
            <a:ext uri="{FF2B5EF4-FFF2-40B4-BE49-F238E27FC236}">
              <a16:creationId xmlns:a16="http://schemas.microsoft.com/office/drawing/2014/main" id="{22071B18-086A-098F-9764-6B4E5C84D5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rcRect/>
        <a:stretch/>
      </xdr:blipFill>
      <xdr:spPr>
        <a:xfrm>
          <a:off x="7391400" y="9820275"/>
          <a:ext cx="360000" cy="360000"/>
        </a:xfrm>
        <a:prstGeom prst="rect">
          <a:avLst/>
        </a:prstGeom>
        <a:solidFill>
          <a:srgbClr val="D8482A"/>
        </a:solidFill>
      </xdr:spPr>
    </xdr:pic>
    <xdr:clientData/>
  </xdr:twoCellAnchor>
  <xdr:twoCellAnchor editAs="oneCell">
    <xdr:from>
      <xdr:col>15</xdr:col>
      <xdr:colOff>83325</xdr:colOff>
      <xdr:row>38</xdr:row>
      <xdr:rowOff>207516</xdr:rowOff>
    </xdr:from>
    <xdr:to>
      <xdr:col>15</xdr:col>
      <xdr:colOff>435705</xdr:colOff>
      <xdr:row>40</xdr:row>
      <xdr:rowOff>98886</xdr:rowOff>
    </xdr:to>
    <xdr:pic>
      <xdr:nvPicPr>
        <xdr:cNvPr id="38" name="Billede 37">
          <a:hlinkClick xmlns:r="http://schemas.openxmlformats.org/officeDocument/2006/relationships" r:id="rId24"/>
          <a:extLst>
            <a:ext uri="{FF2B5EF4-FFF2-40B4-BE49-F238E27FC236}">
              <a16:creationId xmlns:a16="http://schemas.microsoft.com/office/drawing/2014/main" id="{7D3EF6F9-E074-5F93-9300-DBA57F302160}"/>
            </a:ext>
          </a:extLst>
        </xdr:cNvPr>
        <xdr:cNvPicPr>
          <a:picLocks noChangeAspect="1"/>
        </xdr:cNvPicPr>
      </xdr:nvPicPr>
      <xdr:blipFill>
        <a:blip xmlns:r="http://schemas.openxmlformats.org/officeDocument/2006/relationships" r:embed="rId25" cstate="email">
          <a:extLst>
            <a:ext uri="{28A0092B-C50C-407E-A947-70E740481C1C}">
              <a14:useLocalDpi xmlns:a14="http://schemas.microsoft.com/office/drawing/2010/main"/>
            </a:ext>
          </a:extLst>
        </a:blip>
        <a:srcRect/>
        <a:stretch/>
      </xdr:blipFill>
      <xdr:spPr>
        <a:xfrm>
          <a:off x="8712975" y="9808716"/>
          <a:ext cx="360000" cy="360000"/>
        </a:xfrm>
        <a:prstGeom prst="rect">
          <a:avLst/>
        </a:prstGeom>
        <a:solidFill>
          <a:srgbClr val="D8482A"/>
        </a:solidFill>
      </xdr:spPr>
    </xdr:pic>
    <xdr:clientData/>
  </xdr:twoCellAnchor>
  <xdr:twoCellAnchor editAs="oneCell">
    <xdr:from>
      <xdr:col>14</xdr:col>
      <xdr:colOff>52724</xdr:colOff>
      <xdr:row>38</xdr:row>
      <xdr:rowOff>223802</xdr:rowOff>
    </xdr:from>
    <xdr:to>
      <xdr:col>14</xdr:col>
      <xdr:colOff>402450</xdr:colOff>
      <xdr:row>40</xdr:row>
      <xdr:rowOff>97278</xdr:rowOff>
    </xdr:to>
    <xdr:pic>
      <xdr:nvPicPr>
        <xdr:cNvPr id="40" name="Billede 39">
          <a:hlinkClick xmlns:r="http://schemas.openxmlformats.org/officeDocument/2006/relationships" r:id="rId26"/>
          <a:extLst>
            <a:ext uri="{FF2B5EF4-FFF2-40B4-BE49-F238E27FC236}">
              <a16:creationId xmlns:a16="http://schemas.microsoft.com/office/drawing/2014/main" id="{869CB27D-1DBD-03A9-17BD-D485B66ACC5E}"/>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rcRect/>
        <a:stretch/>
      </xdr:blipFill>
      <xdr:spPr>
        <a:xfrm>
          <a:off x="8072774" y="9825002"/>
          <a:ext cx="359251" cy="359251"/>
        </a:xfrm>
        <a:prstGeom prst="rect">
          <a:avLst/>
        </a:prstGeom>
        <a:solidFill>
          <a:srgbClr val="D8482A"/>
        </a:solidFill>
      </xdr:spPr>
    </xdr:pic>
    <xdr:clientData/>
  </xdr:twoCellAnchor>
  <xdr:twoCellAnchor editAs="oneCell">
    <xdr:from>
      <xdr:col>14</xdr:col>
      <xdr:colOff>193888</xdr:colOff>
      <xdr:row>12</xdr:row>
      <xdr:rowOff>36808</xdr:rowOff>
    </xdr:from>
    <xdr:to>
      <xdr:col>16</xdr:col>
      <xdr:colOff>135238</xdr:colOff>
      <xdr:row>13</xdr:row>
      <xdr:rowOff>96042</xdr:rowOff>
    </xdr:to>
    <xdr:sp macro="" textlink="">
      <xdr:nvSpPr>
        <xdr:cNvPr id="16" name="Rektangel 15">
          <a:hlinkClick xmlns:r="http://schemas.openxmlformats.org/officeDocument/2006/relationships" r:id="rId28"/>
          <a:extLst>
            <a:ext uri="{FF2B5EF4-FFF2-40B4-BE49-F238E27FC236}">
              <a16:creationId xmlns:a16="http://schemas.microsoft.com/office/drawing/2014/main" id="{80F76E3F-C9C4-40A5-9DCB-C4E29CE7A577}"/>
            </a:ext>
          </a:extLst>
        </xdr:cNvPr>
        <xdr:cNvSpPr>
          <a:spLocks/>
        </xdr:cNvSpPr>
      </xdr:nvSpPr>
      <xdr:spPr>
        <a:xfrm>
          <a:off x="8213938" y="3256258"/>
          <a:ext cx="1332000" cy="285929"/>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Øvrigt</a:t>
          </a:r>
        </a:p>
      </xdr:txBody>
    </xdr:sp>
    <xdr:clientData/>
  </xdr:twoCellAnchor>
  <xdr:twoCellAnchor editAs="oneCell">
    <xdr:from>
      <xdr:col>0</xdr:col>
      <xdr:colOff>150944</xdr:colOff>
      <xdr:row>23</xdr:row>
      <xdr:rowOff>92252</xdr:rowOff>
    </xdr:from>
    <xdr:to>
      <xdr:col>1</xdr:col>
      <xdr:colOff>154754</xdr:colOff>
      <xdr:row>24</xdr:row>
      <xdr:rowOff>130883</xdr:rowOff>
    </xdr:to>
    <xdr:pic>
      <xdr:nvPicPr>
        <xdr:cNvPr id="17" name="Billede 16">
          <a:extLst>
            <a:ext uri="{FF2B5EF4-FFF2-40B4-BE49-F238E27FC236}">
              <a16:creationId xmlns:a16="http://schemas.microsoft.com/office/drawing/2014/main" id="{D7CFCA69-6B1B-193D-AF29-57A2019B0ECD}"/>
            </a:ext>
          </a:extLst>
        </xdr:cNvPr>
        <xdr:cNvPicPr>
          <a:picLocks noChangeAspect="1" noChangeArrowheads="1"/>
        </xdr:cNvPicPr>
      </xdr:nvPicPr>
      <xdr:blipFill>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bwMode="auto">
        <a:xfrm>
          <a:off x="150944" y="5807252"/>
          <a:ext cx="632460" cy="6234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273328</xdr:colOff>
      <xdr:row>6</xdr:row>
      <xdr:rowOff>504826</xdr:rowOff>
    </xdr:from>
    <xdr:to>
      <xdr:col>3</xdr:col>
      <xdr:colOff>248835</xdr:colOff>
      <xdr:row>9</xdr:row>
      <xdr:rowOff>170506</xdr:rowOff>
    </xdr:to>
    <xdr:sp macro="" textlink="">
      <xdr:nvSpPr>
        <xdr:cNvPr id="19" name="Rektangel 18">
          <a:hlinkClick xmlns:r="http://schemas.openxmlformats.org/officeDocument/2006/relationships" r:id="rId30"/>
          <a:extLst>
            <a:ext uri="{FF2B5EF4-FFF2-40B4-BE49-F238E27FC236}">
              <a16:creationId xmlns:a16="http://schemas.microsoft.com/office/drawing/2014/main" id="{FCBA5A33-F930-4876-B41A-44C4498F95E9}"/>
            </a:ext>
          </a:extLst>
        </xdr:cNvPr>
        <xdr:cNvSpPr/>
      </xdr:nvSpPr>
      <xdr:spPr>
        <a:xfrm>
          <a:off x="273328" y="1409701"/>
          <a:ext cx="1796687" cy="70200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Sebastians</a:t>
          </a:r>
        </a:p>
        <a:p>
          <a:pPr algn="ctr"/>
          <a:r>
            <a:rPr lang="da-DK" sz="1200" b="1">
              <a:solidFill>
                <a:srgbClr val="970F21"/>
              </a:solidFill>
              <a:latin typeface="Arial" panose="020B0604020202020204" pitchFamily="34" charset="0"/>
              <a:cs typeface="Arial" panose="020B0604020202020204" pitchFamily="34" charset="0"/>
            </a:rPr>
            <a:t>24 timers dej</a:t>
          </a:r>
        </a:p>
        <a:p>
          <a:pPr algn="ctr"/>
          <a:endParaRPr lang="da-DK" sz="300" b="0" i="1">
            <a:solidFill>
              <a:srgbClr val="970F21"/>
            </a:solidFill>
            <a:latin typeface="Arial" panose="020B0604020202020204" pitchFamily="34" charset="0"/>
            <a:cs typeface="Arial" panose="020B0604020202020204" pitchFamily="34" charset="0"/>
          </a:endParaRPr>
        </a:p>
        <a:p>
          <a:pPr algn="ctr"/>
          <a:r>
            <a:rPr lang="da-DK" sz="1100" b="0" i="1">
              <a:solidFill>
                <a:srgbClr val="970F21"/>
              </a:solidFill>
              <a:latin typeface="Arial" panose="020B0604020202020204" pitchFamily="34" charset="0"/>
              <a:cs typeface="Arial" panose="020B0604020202020204" pitchFamily="34" charset="0"/>
            </a:rPr>
            <a:t>Tilberedningstid 1 dag</a:t>
          </a:r>
        </a:p>
      </xdr:txBody>
    </xdr:sp>
    <xdr:clientData/>
  </xdr:twoCellAnchor>
  <xdr:twoCellAnchor editAs="oneCell">
    <xdr:from>
      <xdr:col>11</xdr:col>
      <xdr:colOff>525777</xdr:colOff>
      <xdr:row>12</xdr:row>
      <xdr:rowOff>42467</xdr:rowOff>
    </xdr:from>
    <xdr:to>
      <xdr:col>14</xdr:col>
      <xdr:colOff>17547</xdr:colOff>
      <xdr:row>13</xdr:row>
      <xdr:rowOff>97892</xdr:rowOff>
    </xdr:to>
    <xdr:sp macro="" textlink="">
      <xdr:nvSpPr>
        <xdr:cNvPr id="30" name="Rektangel 29">
          <a:hlinkClick xmlns:r="http://schemas.openxmlformats.org/officeDocument/2006/relationships" r:id="rId31"/>
          <a:extLst>
            <a:ext uri="{FF2B5EF4-FFF2-40B4-BE49-F238E27FC236}">
              <a16:creationId xmlns:a16="http://schemas.microsoft.com/office/drawing/2014/main" id="{476945DB-5D4D-458D-B02E-F2EC2A3E83F2}"/>
            </a:ext>
          </a:extLst>
        </xdr:cNvPr>
        <xdr:cNvSpPr/>
      </xdr:nvSpPr>
      <xdr:spPr>
        <a:xfrm>
          <a:off x="6717027" y="3261917"/>
          <a:ext cx="1332000" cy="28593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Tomatsauce</a:t>
          </a:r>
        </a:p>
      </xdr:txBody>
    </xdr:sp>
    <xdr:clientData/>
  </xdr:twoCellAnchor>
  <xdr:twoCellAnchor editAs="oneCell">
    <xdr:from>
      <xdr:col>0</xdr:col>
      <xdr:colOff>273328</xdr:colOff>
      <xdr:row>10</xdr:row>
      <xdr:rowOff>161926</xdr:rowOff>
    </xdr:from>
    <xdr:to>
      <xdr:col>3</xdr:col>
      <xdr:colOff>248835</xdr:colOff>
      <xdr:row>13</xdr:row>
      <xdr:rowOff>149551</xdr:rowOff>
    </xdr:to>
    <xdr:sp macro="" textlink="">
      <xdr:nvSpPr>
        <xdr:cNvPr id="29" name="Rektangel 28">
          <a:hlinkClick xmlns:r="http://schemas.openxmlformats.org/officeDocument/2006/relationships" r:id="rId32" tooltip="Denne dej skal kun hvile ved stuetemperatur. Så ingen koldhævning."/>
          <a:extLst>
            <a:ext uri="{FF2B5EF4-FFF2-40B4-BE49-F238E27FC236}">
              <a16:creationId xmlns:a16="http://schemas.microsoft.com/office/drawing/2014/main" id="{1FE34965-9AF2-4C28-A039-BB928DBF2B6D}"/>
            </a:ext>
          </a:extLst>
        </xdr:cNvPr>
        <xdr:cNvSpPr/>
      </xdr:nvSpPr>
      <xdr:spPr>
        <a:xfrm>
          <a:off x="273328" y="2333626"/>
          <a:ext cx="1796687" cy="70200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Sebastians</a:t>
          </a:r>
        </a:p>
        <a:p>
          <a:pPr algn="ctr"/>
          <a:r>
            <a:rPr lang="da-DK" sz="1200" b="1">
              <a:solidFill>
                <a:srgbClr val="970F21"/>
              </a:solidFill>
              <a:latin typeface="Arial" panose="020B0604020202020204" pitchFamily="34" charset="0"/>
              <a:cs typeface="Arial" panose="020B0604020202020204" pitchFamily="34" charset="0"/>
            </a:rPr>
            <a:t>Biga</a:t>
          </a:r>
        </a:p>
        <a:p>
          <a:pPr algn="ctr"/>
          <a:endParaRPr lang="da-DK" sz="300" b="0" i="1">
            <a:solidFill>
              <a:srgbClr val="970F21"/>
            </a:solidFill>
            <a:latin typeface="Arial" panose="020B0604020202020204" pitchFamily="34" charset="0"/>
            <a:cs typeface="Arial" panose="020B0604020202020204" pitchFamily="34" charset="0"/>
          </a:endParaRPr>
        </a:p>
        <a:p>
          <a:pPr algn="ctr"/>
          <a:r>
            <a:rPr lang="da-DK" sz="1100" b="0" i="1">
              <a:solidFill>
                <a:srgbClr val="970F21"/>
              </a:solidFill>
              <a:latin typeface="Arial" panose="020B0604020202020204" pitchFamily="34" charset="0"/>
              <a:cs typeface="Arial" panose="020B0604020202020204" pitchFamily="34" charset="0"/>
            </a:rPr>
            <a:t>Tilberedningstid 1-2 dage</a:t>
          </a:r>
        </a:p>
      </xdr:txBody>
    </xdr:sp>
    <xdr:clientData/>
  </xdr:twoCellAnchor>
  <xdr:twoCellAnchor editAs="oneCell">
    <xdr:from>
      <xdr:col>0</xdr:col>
      <xdr:colOff>264927</xdr:colOff>
      <xdr:row>28</xdr:row>
      <xdr:rowOff>200026</xdr:rowOff>
    </xdr:from>
    <xdr:to>
      <xdr:col>3</xdr:col>
      <xdr:colOff>248055</xdr:colOff>
      <xdr:row>31</xdr:row>
      <xdr:rowOff>19563</xdr:rowOff>
    </xdr:to>
    <xdr:sp macro="" textlink="">
      <xdr:nvSpPr>
        <xdr:cNvPr id="32" name="Rektangel 31">
          <a:hlinkClick xmlns:r="http://schemas.openxmlformats.org/officeDocument/2006/relationships" r:id="rId33"/>
          <a:extLst>
            <a:ext uri="{FF2B5EF4-FFF2-40B4-BE49-F238E27FC236}">
              <a16:creationId xmlns:a16="http://schemas.microsoft.com/office/drawing/2014/main" id="{7926BA3F-2051-45A9-9F86-34AF94BE5C29}"/>
            </a:ext>
          </a:extLst>
        </xdr:cNvPr>
        <xdr:cNvSpPr/>
      </xdr:nvSpPr>
      <xdr:spPr>
        <a:xfrm>
          <a:off x="264927" y="7259732"/>
          <a:ext cx="1783241" cy="693596"/>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Håndæltet pizza</a:t>
          </a: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1-3 dage</a:t>
          </a:r>
        </a:p>
      </xdr:txBody>
    </xdr:sp>
    <xdr:clientData/>
  </xdr:twoCellAnchor>
  <xdr:twoCellAnchor editAs="oneCell">
    <xdr:from>
      <xdr:col>13</xdr:col>
      <xdr:colOff>804920</xdr:colOff>
      <xdr:row>0</xdr:row>
      <xdr:rowOff>7620</xdr:rowOff>
    </xdr:from>
    <xdr:to>
      <xdr:col>14</xdr:col>
      <xdr:colOff>504490</xdr:colOff>
      <xdr:row>1</xdr:row>
      <xdr:rowOff>260985</xdr:rowOff>
    </xdr:to>
    <xdr:pic>
      <xdr:nvPicPr>
        <xdr:cNvPr id="35" name="Billede 34">
          <a:hlinkClick xmlns:r="http://schemas.openxmlformats.org/officeDocument/2006/relationships" r:id="rId34"/>
          <a:extLst>
            <a:ext uri="{FF2B5EF4-FFF2-40B4-BE49-F238E27FC236}">
              <a16:creationId xmlns:a16="http://schemas.microsoft.com/office/drawing/2014/main" id="{7B1AD32A-26D9-0E29-A0CE-FC9AE2EDE824}"/>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8181080" y="7620"/>
          <a:ext cx="553010" cy="535305"/>
        </a:xfrm>
        <a:prstGeom prst="rect">
          <a:avLst/>
        </a:prstGeom>
      </xdr:spPr>
    </xdr:pic>
    <xdr:clientData/>
  </xdr:twoCellAnchor>
  <xdr:twoCellAnchor editAs="oneCell">
    <xdr:from>
      <xdr:col>7</xdr:col>
      <xdr:colOff>0</xdr:colOff>
      <xdr:row>14</xdr:row>
      <xdr:rowOff>142875</xdr:rowOff>
    </xdr:from>
    <xdr:to>
      <xdr:col>11</xdr:col>
      <xdr:colOff>93782</xdr:colOff>
      <xdr:row>17</xdr:row>
      <xdr:rowOff>130500</xdr:rowOff>
    </xdr:to>
    <xdr:sp macro="" textlink="">
      <xdr:nvSpPr>
        <xdr:cNvPr id="34" name="Rektangel 33">
          <a:hlinkClick xmlns:r="http://schemas.openxmlformats.org/officeDocument/2006/relationships" r:id="rId36"/>
          <a:extLst>
            <a:ext uri="{FF2B5EF4-FFF2-40B4-BE49-F238E27FC236}">
              <a16:creationId xmlns:a16="http://schemas.microsoft.com/office/drawing/2014/main" id="{00951624-A6B6-49FD-A832-5D6C8BD36B33}"/>
            </a:ext>
          </a:extLst>
        </xdr:cNvPr>
        <xdr:cNvSpPr/>
      </xdr:nvSpPr>
      <xdr:spPr>
        <a:xfrm>
          <a:off x="4486275" y="3838575"/>
          <a:ext cx="1798757" cy="702000"/>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da-DK" sz="1200" b="1">
              <a:solidFill>
                <a:srgbClr val="970F21"/>
              </a:solidFill>
              <a:latin typeface="Arial" panose="020B0604020202020204" pitchFamily="34" charset="0"/>
              <a:ea typeface="+mn-ea"/>
              <a:cs typeface="Arial" panose="020B0604020202020204" pitchFamily="34" charset="0"/>
            </a:rPr>
            <a:t>Perfect pizza at</a:t>
          </a:r>
          <a:r>
            <a:rPr lang="da-DK" sz="1200" b="1" baseline="0">
              <a:solidFill>
                <a:srgbClr val="970F21"/>
              </a:solidFill>
              <a:latin typeface="Arial" panose="020B0604020202020204" pitchFamily="34" charset="0"/>
              <a:ea typeface="+mn-ea"/>
              <a:cs typeface="Arial" panose="020B0604020202020204" pitchFamily="34" charset="0"/>
            </a:rPr>
            <a:t> home </a:t>
          </a:r>
          <a:r>
            <a:rPr lang="da-DK" sz="1200" b="1">
              <a:solidFill>
                <a:srgbClr val="970F21"/>
              </a:solidFill>
              <a:latin typeface="Arial" panose="020B0604020202020204" pitchFamily="34" charset="0"/>
              <a:ea typeface="+mn-ea"/>
              <a:cs typeface="Arial" panose="020B0604020202020204" pitchFamily="34" charset="0"/>
            </a:rPr>
            <a:t>New York Style</a:t>
          </a:r>
          <a:br>
            <a:rPr lang="da-DK" sz="300" b="0" i="1">
              <a:solidFill>
                <a:srgbClr val="970F21"/>
              </a:solidFill>
              <a:latin typeface="Arial" panose="020B0604020202020204" pitchFamily="34" charset="0"/>
              <a:cs typeface="Arial" panose="020B0604020202020204" pitchFamily="34" charset="0"/>
            </a:rPr>
          </a:br>
          <a:r>
            <a:rPr lang="da-DK" sz="1100" b="0" i="1">
              <a:solidFill>
                <a:srgbClr val="970F21"/>
              </a:solidFill>
              <a:latin typeface="Arial" panose="020B0604020202020204" pitchFamily="34" charset="0"/>
              <a:cs typeface="Arial" panose="020B0604020202020204" pitchFamily="34" charset="0"/>
            </a:rPr>
            <a:t>Tilberedningstid 3 dage</a:t>
          </a:r>
        </a:p>
      </xdr:txBody>
    </xdr:sp>
    <xdr:clientData/>
  </xdr:twoCellAnchor>
  <xdr:twoCellAnchor editAs="oneCell">
    <xdr:from>
      <xdr:col>11</xdr:col>
      <xdr:colOff>517242</xdr:colOff>
      <xdr:row>8</xdr:row>
      <xdr:rowOff>134205</xdr:rowOff>
    </xdr:from>
    <xdr:to>
      <xdr:col>14</xdr:col>
      <xdr:colOff>20442</xdr:colOff>
      <xdr:row>9</xdr:row>
      <xdr:rowOff>170579</xdr:rowOff>
    </xdr:to>
    <xdr:sp macro="" textlink="">
      <xdr:nvSpPr>
        <xdr:cNvPr id="51" name="Rektangel 50">
          <a:hlinkClick xmlns:r="http://schemas.openxmlformats.org/officeDocument/2006/relationships" r:id="rId37"/>
          <a:extLst>
            <a:ext uri="{FF2B5EF4-FFF2-40B4-BE49-F238E27FC236}">
              <a16:creationId xmlns:a16="http://schemas.microsoft.com/office/drawing/2014/main" id="{FB2E8E94-5E7B-4E77-ADAB-4FC3A03AA7EA}"/>
            </a:ext>
          </a:extLst>
        </xdr:cNvPr>
        <xdr:cNvSpPr/>
      </xdr:nvSpPr>
      <xdr:spPr>
        <a:xfrm>
          <a:off x="6708492" y="2401155"/>
          <a:ext cx="1332000" cy="285929"/>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Gær / omregner</a:t>
          </a:r>
        </a:p>
      </xdr:txBody>
    </xdr:sp>
    <xdr:clientData/>
  </xdr:twoCellAnchor>
  <xdr:twoCellAnchor editAs="oneCell">
    <xdr:from>
      <xdr:col>11</xdr:col>
      <xdr:colOff>517242</xdr:colOff>
      <xdr:row>10</xdr:row>
      <xdr:rowOff>86580</xdr:rowOff>
    </xdr:from>
    <xdr:to>
      <xdr:col>14</xdr:col>
      <xdr:colOff>20442</xdr:colOff>
      <xdr:row>11</xdr:row>
      <xdr:rowOff>134384</xdr:rowOff>
    </xdr:to>
    <xdr:sp macro="" textlink="">
      <xdr:nvSpPr>
        <xdr:cNvPr id="52" name="Rektangel 51">
          <a:hlinkClick xmlns:r="http://schemas.openxmlformats.org/officeDocument/2006/relationships" r:id="rId38"/>
          <a:extLst>
            <a:ext uri="{FF2B5EF4-FFF2-40B4-BE49-F238E27FC236}">
              <a16:creationId xmlns:a16="http://schemas.microsoft.com/office/drawing/2014/main" id="{47FF07C0-A26E-42C0-86C0-5960C595C9F8}"/>
            </a:ext>
          </a:extLst>
        </xdr:cNvPr>
        <xdr:cNvSpPr/>
      </xdr:nvSpPr>
      <xdr:spPr>
        <a:xfrm>
          <a:off x="6708492" y="2829780"/>
          <a:ext cx="1332000" cy="285929"/>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rgbClr val="970F21"/>
              </a:solidFill>
              <a:latin typeface="Arial" panose="020B0604020202020204" pitchFamily="34" charset="0"/>
              <a:cs typeface="Arial" panose="020B0604020202020204" pitchFamily="34" charset="0"/>
            </a:rPr>
            <a:t>Vand</a:t>
          </a:r>
        </a:p>
      </xdr:txBody>
    </xdr:sp>
    <xdr:clientData/>
  </xdr:twoCellAnchor>
  <xdr:twoCellAnchor editAs="oneCell">
    <xdr:from>
      <xdr:col>3</xdr:col>
      <xdr:colOff>588777</xdr:colOff>
      <xdr:row>36</xdr:row>
      <xdr:rowOff>76200</xdr:rowOff>
    </xdr:from>
    <xdr:to>
      <xdr:col>6</xdr:col>
      <xdr:colOff>549044</xdr:colOff>
      <xdr:row>39</xdr:row>
      <xdr:rowOff>96755</xdr:rowOff>
    </xdr:to>
    <xdr:sp macro="" textlink="">
      <xdr:nvSpPr>
        <xdr:cNvPr id="4" name="Rektangel 3">
          <a:hlinkClick xmlns:r="http://schemas.openxmlformats.org/officeDocument/2006/relationships" r:id="rId39"/>
          <a:extLst>
            <a:ext uri="{FF2B5EF4-FFF2-40B4-BE49-F238E27FC236}">
              <a16:creationId xmlns:a16="http://schemas.microsoft.com/office/drawing/2014/main" id="{89568087-2061-474D-9A8F-A23202DE0FFF}"/>
            </a:ext>
          </a:extLst>
        </xdr:cNvPr>
        <xdr:cNvSpPr>
          <a:spLocks/>
        </xdr:cNvSpPr>
      </xdr:nvSpPr>
      <xdr:spPr>
        <a:xfrm>
          <a:off x="2404130" y="9220200"/>
          <a:ext cx="1783240" cy="718906"/>
        </a:xfrm>
        <a:prstGeom prst="rect">
          <a:avLst/>
        </a:prstGeom>
        <a:solidFill>
          <a:srgbClr val="F3EDE5"/>
        </a:solidFill>
        <a:ln cap="rnd">
          <a:solidFill>
            <a:schemeClr val="tx1">
              <a:lumMod val="50000"/>
              <a:lumOff val="50000"/>
            </a:schemeClr>
          </a:solidFill>
          <a:round/>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da-DK" sz="1200" b="1">
              <a:solidFill>
                <a:schemeClr val="bg2">
                  <a:lumMod val="25000"/>
                </a:schemeClr>
              </a:solidFill>
              <a:latin typeface="Arial" panose="020B0604020202020204" pitchFamily="34" charset="0"/>
              <a:cs typeface="Arial" panose="020B0604020202020204" pitchFamily="34" charset="0"/>
            </a:rPr>
            <a:t>Glutenfri</a:t>
          </a:r>
          <a:r>
            <a:rPr lang="da-DK" sz="1200" b="1" baseline="0">
              <a:solidFill>
                <a:schemeClr val="bg2">
                  <a:lumMod val="25000"/>
                </a:schemeClr>
              </a:solidFill>
              <a:latin typeface="Arial" panose="020B0604020202020204" pitchFamily="34" charset="0"/>
              <a:cs typeface="Arial" panose="020B0604020202020204" pitchFamily="34" charset="0"/>
            </a:rPr>
            <a:t> - håndæltet</a:t>
          </a:r>
          <a:endParaRPr lang="da-DK" sz="1200" b="1">
            <a:solidFill>
              <a:schemeClr val="bg2">
                <a:lumMod val="25000"/>
              </a:schemeClr>
            </a:solidFill>
            <a:latin typeface="Arial" panose="020B0604020202020204" pitchFamily="34" charset="0"/>
            <a:cs typeface="Arial" panose="020B0604020202020204" pitchFamily="34" charset="0"/>
          </a:endParaRPr>
        </a:p>
        <a:p>
          <a:pPr algn="ctr"/>
          <a:br>
            <a:rPr lang="da-DK" sz="300" b="0" i="1">
              <a:solidFill>
                <a:schemeClr val="bg2">
                  <a:lumMod val="25000"/>
                </a:schemeClr>
              </a:solidFill>
              <a:latin typeface="Arial" panose="020B0604020202020204" pitchFamily="34" charset="0"/>
              <a:cs typeface="Arial" panose="020B0604020202020204" pitchFamily="34" charset="0"/>
            </a:rPr>
          </a:br>
          <a:r>
            <a:rPr lang="da-DK" sz="1100" b="0" i="1">
              <a:solidFill>
                <a:schemeClr val="bg2">
                  <a:lumMod val="25000"/>
                </a:schemeClr>
              </a:solidFill>
              <a:latin typeface="Arial" panose="020B0604020202020204" pitchFamily="34" charset="0"/>
              <a:cs typeface="Arial" panose="020B0604020202020204" pitchFamily="34" charset="0"/>
            </a:rPr>
            <a:t>Tilberedning 1 dag</a:t>
          </a:r>
        </a:p>
      </xdr:txBody>
    </xdr:sp>
    <xdr:clientData/>
  </xdr:twoCellAnchor>
  <xdr:twoCellAnchor editAs="oneCell">
    <xdr:from>
      <xdr:col>13</xdr:col>
      <xdr:colOff>47890</xdr:colOff>
      <xdr:row>27</xdr:row>
      <xdr:rowOff>91614</xdr:rowOff>
    </xdr:from>
    <xdr:to>
      <xdr:col>15</xdr:col>
      <xdr:colOff>668434</xdr:colOff>
      <xdr:row>36</xdr:row>
      <xdr:rowOff>56235</xdr:rowOff>
    </xdr:to>
    <xdr:pic>
      <xdr:nvPicPr>
        <xdr:cNvPr id="42" name="Billede 41" descr="Kan være et billede af pizza og tekst, der siger &quot;김재청이대용축아% Лom Kom 0g Skovdal KommedBagerkokken, med og Jakob Bagerkokken, pizza mesterlaere PerMiljkovic-Bangert Per Miljkovic-E Bangert Pizza -ren norderi&quot;">
          <a:hlinkClick xmlns:r="http://schemas.openxmlformats.org/officeDocument/2006/relationships" r:id="rId40"/>
          <a:extLst>
            <a:ext uri="{FF2B5EF4-FFF2-40B4-BE49-F238E27FC236}">
              <a16:creationId xmlns:a16="http://schemas.microsoft.com/office/drawing/2014/main" id="{413E3789-A51C-4443-8405-974D499FDD78}"/>
            </a:ext>
          </a:extLst>
        </xdr:cNvPr>
        <xdr:cNvPicPr>
          <a:picLocks noChangeAspect="1" noChangeArrowheads="1"/>
        </xdr:cNvPicPr>
      </xdr:nvPicPr>
      <xdr:blipFill>
        <a:blip xmlns:r="http://schemas.openxmlformats.org/officeDocument/2006/relationships" r:embed="rId41" cstate="email">
          <a:extLst>
            <a:ext uri="{28A0092B-C50C-407E-A947-70E740481C1C}">
              <a14:useLocalDpi xmlns:a14="http://schemas.microsoft.com/office/drawing/2010/main"/>
            </a:ext>
          </a:extLst>
        </a:blip>
        <a:srcRect/>
        <a:stretch>
          <a:fillRect/>
        </a:stretch>
      </xdr:blipFill>
      <xdr:spPr bwMode="auto">
        <a:xfrm rot="21295330">
          <a:off x="7458340" y="7463964"/>
          <a:ext cx="2106444" cy="2300151"/>
        </a:xfrm>
        <a:prstGeom prst="rect">
          <a:avLst/>
        </a:prstGeom>
        <a:ln>
          <a:noFill/>
        </a:ln>
        <a:effectLst>
          <a:reflection blurRad="12700" stA="30000" endPos="30000" dist="5000" dir="5400000" sy="-100000" algn="bl" rotWithShape="0"/>
        </a:effectLst>
        <a:scene3d>
          <a:camera prst="perspectiveContrastingLeftFacing">
            <a:rot lat="300000" lon="19800000" rev="0"/>
          </a:camera>
          <a:lightRig rig="threePt" dir="t">
            <a:rot lat="0" lon="0" rev="2700000"/>
          </a:lightRig>
        </a:scene3d>
        <a:sp3d>
          <a:bevelT w="63500" h="50800"/>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354965</xdr:colOff>
      <xdr:row>26</xdr:row>
      <xdr:rowOff>217007</xdr:rowOff>
    </xdr:from>
    <xdr:to>
      <xdr:col>15</xdr:col>
      <xdr:colOff>378091</xdr:colOff>
      <xdr:row>29</xdr:row>
      <xdr:rowOff>398</xdr:rowOff>
    </xdr:to>
    <xdr:pic>
      <xdr:nvPicPr>
        <xdr:cNvPr id="37" name="Billede 36">
          <a:extLst>
            <a:ext uri="{FF2B5EF4-FFF2-40B4-BE49-F238E27FC236}">
              <a16:creationId xmlns:a16="http://schemas.microsoft.com/office/drawing/2014/main" id="{0099DEC1-37C8-4FC5-9E21-2A9ABD8A6064}"/>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xdr:blipFill>
      <xdr:spPr>
        <a:xfrm rot="20420228">
          <a:off x="8622665" y="7227407"/>
          <a:ext cx="651776" cy="627306"/>
        </a:xfrm>
        <a:prstGeom prst="rect">
          <a:avLst/>
        </a:prstGeom>
      </xdr:spPr>
    </xdr:pic>
    <xdr:clientData/>
  </xdr:twoCellAnchor>
  <xdr:twoCellAnchor editAs="oneCell">
    <xdr:from>
      <xdr:col>6</xdr:col>
      <xdr:colOff>836295</xdr:colOff>
      <xdr:row>6</xdr:row>
      <xdr:rowOff>533400</xdr:rowOff>
    </xdr:from>
    <xdr:to>
      <xdr:col>11</xdr:col>
      <xdr:colOff>76637</xdr:colOff>
      <xdr:row>9</xdr:row>
      <xdr:rowOff>170505</xdr:rowOff>
    </xdr:to>
    <xdr:sp macro="" textlink="">
      <xdr:nvSpPr>
        <xdr:cNvPr id="39" name="Rektangel 38">
          <a:hlinkClick xmlns:r="http://schemas.openxmlformats.org/officeDocument/2006/relationships" r:id="rId43"/>
          <a:extLst>
            <a:ext uri="{FF2B5EF4-FFF2-40B4-BE49-F238E27FC236}">
              <a16:creationId xmlns:a16="http://schemas.microsoft.com/office/drawing/2014/main" id="{35F77E2A-D936-4CF3-B4E3-CE6999947060}"/>
            </a:ext>
          </a:extLst>
        </xdr:cNvPr>
        <xdr:cNvSpPr/>
      </xdr:nvSpPr>
      <xdr:spPr>
        <a:xfrm>
          <a:off x="4585335" y="1988820"/>
          <a:ext cx="1838762" cy="673425"/>
        </a:xfrm>
        <a:prstGeom prst="rect">
          <a:avLst/>
        </a:prstGeom>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da-DK" sz="1200" b="1">
              <a:solidFill>
                <a:srgbClr val="970F21"/>
              </a:solidFill>
              <a:latin typeface="Arial" panose="020B0604020202020204" pitchFamily="34" charset="0"/>
              <a:ea typeface="+mn-ea"/>
              <a:cs typeface="Arial" panose="020B0604020202020204" pitchFamily="34" charset="0"/>
            </a:rPr>
            <a:t>PizzaPal's</a:t>
          </a:r>
          <a:br>
            <a:rPr lang="da-DK" sz="1200" b="1">
              <a:solidFill>
                <a:srgbClr val="970F21"/>
              </a:solidFill>
              <a:latin typeface="Arial" panose="020B0604020202020204" pitchFamily="34" charset="0"/>
              <a:ea typeface="+mn-ea"/>
              <a:cs typeface="Arial" panose="020B0604020202020204" pitchFamily="34" charset="0"/>
            </a:rPr>
          </a:br>
          <a:r>
            <a:rPr lang="da-DK" sz="1200" b="1">
              <a:solidFill>
                <a:srgbClr val="970F21"/>
              </a:solidFill>
              <a:latin typeface="Arial" panose="020B0604020202020204" pitchFamily="34" charset="0"/>
              <a:ea typeface="+mn-ea"/>
              <a:cs typeface="Arial" panose="020B0604020202020204" pitchFamily="34" charset="0"/>
            </a:rPr>
            <a:t>New York Style</a:t>
          </a:r>
          <a:br>
            <a:rPr lang="da-DK" sz="300" b="0" i="1">
              <a:solidFill>
                <a:srgbClr val="970F21"/>
              </a:solidFill>
              <a:latin typeface="Arial" panose="020B0604020202020204" pitchFamily="34" charset="0"/>
              <a:cs typeface="Arial" panose="020B0604020202020204" pitchFamily="34" charset="0"/>
            </a:rPr>
          </a:br>
          <a:r>
            <a:rPr lang="da-DK" sz="1100" b="0" i="1">
              <a:solidFill>
                <a:srgbClr val="970F21"/>
              </a:solidFill>
              <a:latin typeface="Arial" panose="020B0604020202020204" pitchFamily="34" charset="0"/>
              <a:cs typeface="Arial" panose="020B0604020202020204" pitchFamily="34" charset="0"/>
            </a:rPr>
            <a:t>Tilberedningstid 2 dage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151653</xdr:colOff>
      <xdr:row>6</xdr:row>
      <xdr:rowOff>20022</xdr:rowOff>
    </xdr:from>
    <xdr:to>
      <xdr:col>6</xdr:col>
      <xdr:colOff>1165146</xdr:colOff>
      <xdr:row>10</xdr:row>
      <xdr:rowOff>133186</xdr:rowOff>
    </xdr:to>
    <xdr:pic>
      <xdr:nvPicPr>
        <xdr:cNvPr id="4" name="Billede 3">
          <a:hlinkClick xmlns:r="http://schemas.openxmlformats.org/officeDocument/2006/relationships" r:id="rId1"/>
          <a:extLst>
            <a:ext uri="{FF2B5EF4-FFF2-40B4-BE49-F238E27FC236}">
              <a16:creationId xmlns:a16="http://schemas.microsoft.com/office/drawing/2014/main" id="{488A7535-935C-4CCA-A7BB-E62AED7EA3F7}"/>
            </a:ext>
          </a:extLst>
        </xdr:cNvPr>
        <xdr:cNvPicPr>
          <a:picLocks noChangeAspect="1"/>
        </xdr:cNvPicPr>
      </xdr:nvPicPr>
      <xdr:blipFill rotWithShape="1">
        <a:blip xmlns:r="http://schemas.openxmlformats.org/officeDocument/2006/relationships" r:embed="rId2" cstate="email">
          <a:clrChange>
            <a:clrFrom>
              <a:srgbClr val="F1F1F1"/>
            </a:clrFrom>
            <a:clrTo>
              <a:srgbClr val="F1F1F1">
                <a:alpha val="0"/>
              </a:srgbClr>
            </a:clrTo>
          </a:clrChange>
          <a:extLst>
            <a:ext uri="{28A0092B-C50C-407E-A947-70E740481C1C}">
              <a14:useLocalDpi xmlns:a14="http://schemas.microsoft.com/office/drawing/2010/main"/>
            </a:ext>
          </a:extLst>
        </a:blip>
        <a:srcRect/>
        <a:stretch/>
      </xdr:blipFill>
      <xdr:spPr>
        <a:xfrm>
          <a:off x="2818653" y="1105872"/>
          <a:ext cx="1415448" cy="850399"/>
        </a:xfrm>
        <a:prstGeom prst="rect">
          <a:avLst/>
        </a:prstGeom>
        <a:noFill/>
        <a:ln>
          <a:noFill/>
        </a:ln>
      </xdr:spPr>
    </xdr:pic>
    <xdr:clientData/>
  </xdr:twoCellAnchor>
  <xdr:twoCellAnchor editAs="oneCell">
    <xdr:from>
      <xdr:col>7</xdr:col>
      <xdr:colOff>349443</xdr:colOff>
      <xdr:row>6</xdr:row>
      <xdr:rowOff>49574</xdr:rowOff>
    </xdr:from>
    <xdr:to>
      <xdr:col>11</xdr:col>
      <xdr:colOff>0</xdr:colOff>
      <xdr:row>10</xdr:row>
      <xdr:rowOff>149662</xdr:rowOff>
    </xdr:to>
    <xdr:pic>
      <xdr:nvPicPr>
        <xdr:cNvPr id="5" name="Billede 4">
          <a:hlinkClick xmlns:r="http://schemas.openxmlformats.org/officeDocument/2006/relationships" r:id="rId3"/>
          <a:extLst>
            <a:ext uri="{FF2B5EF4-FFF2-40B4-BE49-F238E27FC236}">
              <a16:creationId xmlns:a16="http://schemas.microsoft.com/office/drawing/2014/main" id="{586CED3D-ED10-4BA8-BF6C-7D79F9747C6C}"/>
            </a:ext>
          </a:extLst>
        </xdr:cNvPr>
        <xdr:cNvPicPr>
          <a:picLocks noChangeAspect="1"/>
        </xdr:cNvPicPr>
      </xdr:nvPicPr>
      <xdr:blipFill rotWithShape="1">
        <a:blip xmlns:r="http://schemas.openxmlformats.org/officeDocument/2006/relationships" r:embed="rId4" cstate="email">
          <a:clrChange>
            <a:clrFrom>
              <a:srgbClr val="F1F1F1"/>
            </a:clrFrom>
            <a:clrTo>
              <a:srgbClr val="F1F1F1">
                <a:alpha val="0"/>
              </a:srgbClr>
            </a:clrTo>
          </a:clrChange>
          <a:extLst>
            <a:ext uri="{28A0092B-C50C-407E-A947-70E740481C1C}">
              <a14:useLocalDpi xmlns:a14="http://schemas.microsoft.com/office/drawing/2010/main"/>
            </a:ext>
          </a:extLst>
        </a:blip>
        <a:srcRect/>
        <a:stretch/>
      </xdr:blipFill>
      <xdr:spPr>
        <a:xfrm>
          <a:off x="4769043" y="1135424"/>
          <a:ext cx="1412682" cy="823988"/>
        </a:xfrm>
        <a:prstGeom prst="rect">
          <a:avLst/>
        </a:prstGeom>
        <a:noFill/>
        <a:ln>
          <a:noFill/>
        </a:ln>
      </xdr:spPr>
    </xdr:pic>
    <xdr:clientData/>
  </xdr:twoCellAnchor>
  <xdr:twoCellAnchor editAs="oneCell">
    <xdr:from>
      <xdr:col>3</xdr:col>
      <xdr:colOff>3411</xdr:colOff>
      <xdr:row>6</xdr:row>
      <xdr:rowOff>42290</xdr:rowOff>
    </xdr:from>
    <xdr:to>
      <xdr:col>4</xdr:col>
      <xdr:colOff>57735</xdr:colOff>
      <xdr:row>10</xdr:row>
      <xdr:rowOff>148888</xdr:rowOff>
    </xdr:to>
    <xdr:pic>
      <xdr:nvPicPr>
        <xdr:cNvPr id="6" name="Billede 5">
          <a:hlinkClick xmlns:r="http://schemas.openxmlformats.org/officeDocument/2006/relationships" r:id="rId5"/>
          <a:extLst>
            <a:ext uri="{FF2B5EF4-FFF2-40B4-BE49-F238E27FC236}">
              <a16:creationId xmlns:a16="http://schemas.microsoft.com/office/drawing/2014/main" id="{F0486622-1F69-4697-AF34-856A1E074985}"/>
            </a:ext>
          </a:extLst>
        </xdr:cNvPr>
        <xdr:cNvPicPr>
          <a:picLocks noChangeAspect="1"/>
        </xdr:cNvPicPr>
      </xdr:nvPicPr>
      <xdr:blipFill rotWithShape="1">
        <a:blip xmlns:r="http://schemas.openxmlformats.org/officeDocument/2006/relationships" r:embed="rId6" cstate="email">
          <a:clrChange>
            <a:clrFrom>
              <a:srgbClr val="F1F1F1"/>
            </a:clrFrom>
            <a:clrTo>
              <a:srgbClr val="F1F1F1">
                <a:alpha val="0"/>
              </a:srgbClr>
            </a:clrTo>
          </a:clrChange>
          <a:extLst>
            <a:ext uri="{28A0092B-C50C-407E-A947-70E740481C1C}">
              <a14:useLocalDpi xmlns:a14="http://schemas.microsoft.com/office/drawing/2010/main"/>
            </a:ext>
          </a:extLst>
        </a:blip>
        <a:srcRect/>
        <a:stretch/>
      </xdr:blipFill>
      <xdr:spPr>
        <a:xfrm>
          <a:off x="746361" y="1128140"/>
          <a:ext cx="1435449" cy="830498"/>
        </a:xfrm>
        <a:prstGeom prst="rect">
          <a:avLst/>
        </a:prstGeom>
        <a:noFill/>
        <a:ln>
          <a:noFill/>
        </a:ln>
      </xdr:spPr>
    </xdr:pic>
    <xdr:clientData/>
  </xdr:twoCellAnchor>
  <xdr:twoCellAnchor editAs="oneCell">
    <xdr:from>
      <xdr:col>0</xdr:col>
      <xdr:colOff>0</xdr:colOff>
      <xdr:row>0</xdr:row>
      <xdr:rowOff>0</xdr:rowOff>
    </xdr:from>
    <xdr:to>
      <xdr:col>2</xdr:col>
      <xdr:colOff>207973</xdr:colOff>
      <xdr:row>4</xdr:row>
      <xdr:rowOff>0</xdr:rowOff>
    </xdr:to>
    <xdr:pic>
      <xdr:nvPicPr>
        <xdr:cNvPr id="10" name="Billede 9">
          <a:hlinkClick xmlns:r="http://schemas.openxmlformats.org/officeDocument/2006/relationships" r:id="rId7"/>
          <a:extLst>
            <a:ext uri="{FF2B5EF4-FFF2-40B4-BE49-F238E27FC236}">
              <a16:creationId xmlns:a16="http://schemas.microsoft.com/office/drawing/2014/main" id="{030ECBB7-B5BD-45E6-98E1-0F106E9700EC}"/>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12</xdr:col>
      <xdr:colOff>1383030</xdr:colOff>
      <xdr:row>21</xdr:row>
      <xdr:rowOff>169545</xdr:rowOff>
    </xdr:from>
    <xdr:to>
      <xdr:col>12</xdr:col>
      <xdr:colOff>1621126</xdr:colOff>
      <xdr:row>23</xdr:row>
      <xdr:rowOff>20926</xdr:rowOff>
    </xdr:to>
    <xdr:pic macro="[0]!Denne_projektmappe.Printer">
      <xdr:nvPicPr>
        <xdr:cNvPr id="11" name="Billede 10">
          <a:extLst>
            <a:ext uri="{FF2B5EF4-FFF2-40B4-BE49-F238E27FC236}">
              <a16:creationId xmlns:a16="http://schemas.microsoft.com/office/drawing/2014/main" id="{E13D878D-CE7E-A8FF-CB66-FB3439EFCC76}"/>
            </a:ext>
          </a:extLst>
        </xdr:cNvPr>
        <xdr:cNvPicPr>
          <a:picLocks noChangeAspect="1"/>
        </xdr:cNvPicPr>
      </xdr:nvPicPr>
      <xdr:blipFill>
        <a:blip xmlns:r="http://schemas.openxmlformats.org/officeDocument/2006/relationships" r:embed="rId9" cstate="email">
          <a:duotone>
            <a:prstClr val="black"/>
            <a:schemeClr val="tx2">
              <a:tint val="45000"/>
              <a:satMod val="400000"/>
            </a:schemeClr>
          </a:duotone>
          <a:extLst>
            <a:ext uri="{BEBA8EAE-BF5A-486C-A8C5-ECC9F3942E4B}">
              <a14:imgProps xmlns:a14="http://schemas.microsoft.com/office/drawing/2010/main">
                <a14:imgLayer r:embed="rId10">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8202930" y="4246245"/>
          <a:ext cx="228571" cy="228571"/>
        </a:xfrm>
        <a:prstGeom prst="rect">
          <a:avLst/>
        </a:prstGeom>
      </xdr:spPr>
    </xdr:pic>
    <xdr:clientData fPrintsWithSheet="0"/>
  </xdr:twoCellAnchor>
  <xdr:twoCellAnchor editAs="oneCell">
    <xdr:from>
      <xdr:col>6</xdr:col>
      <xdr:colOff>1123951</xdr:colOff>
      <xdr:row>1</xdr:row>
      <xdr:rowOff>47625</xdr:rowOff>
    </xdr:from>
    <xdr:to>
      <xdr:col>7</xdr:col>
      <xdr:colOff>208103</xdr:colOff>
      <xdr:row>2</xdr:row>
      <xdr:rowOff>169187</xdr:rowOff>
    </xdr:to>
    <xdr:pic>
      <xdr:nvPicPr>
        <xdr:cNvPr id="7" name="Billede 6" descr="Flag of Italy - Waving">
          <a:extLst>
            <a:ext uri="{FF2B5EF4-FFF2-40B4-BE49-F238E27FC236}">
              <a16:creationId xmlns:a16="http://schemas.microsoft.com/office/drawing/2014/main" id="{C3DDD6AC-C1FC-44D4-8A4E-0D33D57CFF9F}"/>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rot="20707217">
          <a:off x="4181476" y="238125"/>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129868</xdr:colOff>
      <xdr:row>4</xdr:row>
      <xdr:rowOff>0</xdr:rowOff>
    </xdr:to>
    <xdr:pic>
      <xdr:nvPicPr>
        <xdr:cNvPr id="3" name="Billede 2">
          <a:hlinkClick xmlns:r="http://schemas.openxmlformats.org/officeDocument/2006/relationships" r:id="rId1"/>
          <a:extLst>
            <a:ext uri="{FF2B5EF4-FFF2-40B4-BE49-F238E27FC236}">
              <a16:creationId xmlns:a16="http://schemas.microsoft.com/office/drawing/2014/main" id="{3EDD6A2B-64E2-42F0-9A67-2A6198E05202}"/>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10</xdr:col>
      <xdr:colOff>506730</xdr:colOff>
      <xdr:row>18</xdr:row>
      <xdr:rowOff>179070</xdr:rowOff>
    </xdr:from>
    <xdr:to>
      <xdr:col>10</xdr:col>
      <xdr:colOff>744826</xdr:colOff>
      <xdr:row>20</xdr:row>
      <xdr:rowOff>20926</xdr:rowOff>
    </xdr:to>
    <xdr:pic macro="[0]!Denne_projektmappe.Printer">
      <xdr:nvPicPr>
        <xdr:cNvPr id="5" name="Billede 4">
          <a:extLst>
            <a:ext uri="{FF2B5EF4-FFF2-40B4-BE49-F238E27FC236}">
              <a16:creationId xmlns:a16="http://schemas.microsoft.com/office/drawing/2014/main" id="{E7773E1E-9D27-4ED7-924A-8D918FD74F7D}"/>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8288655" y="3846195"/>
          <a:ext cx="228571" cy="228571"/>
        </a:xfrm>
        <a:prstGeom prst="rect">
          <a:avLst/>
        </a:prstGeom>
      </xdr:spPr>
    </xdr:pic>
    <xdr:clientData fPrintsWithSheet="0"/>
  </xdr:twoCellAnchor>
  <xdr:twoCellAnchor editAs="oneCell">
    <xdr:from>
      <xdr:col>6</xdr:col>
      <xdr:colOff>409575</xdr:colOff>
      <xdr:row>0</xdr:row>
      <xdr:rowOff>152400</xdr:rowOff>
    </xdr:from>
    <xdr:to>
      <xdr:col>8</xdr:col>
      <xdr:colOff>363855</xdr:colOff>
      <xdr:row>3</xdr:row>
      <xdr:rowOff>55326</xdr:rowOff>
    </xdr:to>
    <xdr:pic>
      <xdr:nvPicPr>
        <xdr:cNvPr id="8" name="Billede 7">
          <a:extLst>
            <a:ext uri="{FF2B5EF4-FFF2-40B4-BE49-F238E27FC236}">
              <a16:creationId xmlns:a16="http://schemas.microsoft.com/office/drawing/2014/main" id="{0331EF39-2276-D5D0-FB41-EB4AA4400269}"/>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b="6892"/>
        <a:stretch/>
      </xdr:blipFill>
      <xdr:spPr>
        <a:xfrm>
          <a:off x="4772025" y="152400"/>
          <a:ext cx="981075" cy="4839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364183</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E9FB9DEE-0F43-45B4-8B08-AC7909872FFC}"/>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8</xdr:col>
      <xdr:colOff>1725930</xdr:colOff>
      <xdr:row>16</xdr:row>
      <xdr:rowOff>179070</xdr:rowOff>
    </xdr:from>
    <xdr:to>
      <xdr:col>9</xdr:col>
      <xdr:colOff>268576</xdr:colOff>
      <xdr:row>18</xdr:row>
      <xdr:rowOff>20926</xdr:rowOff>
    </xdr:to>
    <xdr:pic macro="[0]!Denne_projektmappe.Printer">
      <xdr:nvPicPr>
        <xdr:cNvPr id="4" name="Billede 3">
          <a:extLst>
            <a:ext uri="{FF2B5EF4-FFF2-40B4-BE49-F238E27FC236}">
              <a16:creationId xmlns:a16="http://schemas.microsoft.com/office/drawing/2014/main" id="{CE197BFF-29F2-4790-B420-4B2D158EAE5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7660005" y="3474720"/>
          <a:ext cx="228571" cy="228571"/>
        </a:xfrm>
        <a:prstGeom prst="rect">
          <a:avLst/>
        </a:prstGeom>
      </xdr:spPr>
    </xdr:pic>
    <xdr:clientData fPrintsWithSheet="0"/>
  </xdr:twoCellAnchor>
  <xdr:twoCellAnchor editAs="oneCell">
    <xdr:from>
      <xdr:col>8</xdr:col>
      <xdr:colOff>1752600</xdr:colOff>
      <xdr:row>4</xdr:row>
      <xdr:rowOff>104775</xdr:rowOff>
    </xdr:from>
    <xdr:to>
      <xdr:col>10</xdr:col>
      <xdr:colOff>36195</xdr:colOff>
      <xdr:row>6</xdr:row>
      <xdr:rowOff>91440</xdr:rowOff>
    </xdr:to>
    <xdr:pic>
      <xdr:nvPicPr>
        <xdr:cNvPr id="3" name="Billede 2" descr="Youtube - Free social media icons">
          <a:hlinkClick xmlns:r="http://schemas.openxmlformats.org/officeDocument/2006/relationships" r:id="rId5"/>
          <a:extLst>
            <a:ext uri="{FF2B5EF4-FFF2-40B4-BE49-F238E27FC236}">
              <a16:creationId xmlns:a16="http://schemas.microsoft.com/office/drawing/2014/main" id="{18308513-E5B1-4523-9C66-EEBB740F4FDC}"/>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7686675" y="876300"/>
          <a:ext cx="5048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1171575</xdr:colOff>
      <xdr:row>1</xdr:row>
      <xdr:rowOff>47625</xdr:rowOff>
    </xdr:from>
    <xdr:to>
      <xdr:col>6</xdr:col>
      <xdr:colOff>17602</xdr:colOff>
      <xdr:row>2</xdr:row>
      <xdr:rowOff>169187</xdr:rowOff>
    </xdr:to>
    <xdr:pic>
      <xdr:nvPicPr>
        <xdr:cNvPr id="5" name="Billede 4" descr="Flag of Italy - Waving">
          <a:extLst>
            <a:ext uri="{FF2B5EF4-FFF2-40B4-BE49-F238E27FC236}">
              <a16:creationId xmlns:a16="http://schemas.microsoft.com/office/drawing/2014/main" id="{3198B6C3-8D0F-41CE-B867-E63EFD2CB8A4}"/>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rot="20707217">
          <a:off x="4810125" y="238125"/>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17473</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AB20520C-9F9A-4FCD-BEDF-6F63C049A7C4}"/>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12</xdr:col>
      <xdr:colOff>1971383</xdr:colOff>
      <xdr:row>17</xdr:row>
      <xdr:rowOff>9818</xdr:rowOff>
    </xdr:from>
    <xdr:to>
      <xdr:col>12</xdr:col>
      <xdr:colOff>2190429</xdr:colOff>
      <xdr:row>18</xdr:row>
      <xdr:rowOff>38364</xdr:rowOff>
    </xdr:to>
    <xdr:pic macro="[0]!Denne_projektmappe.Printer">
      <xdr:nvPicPr>
        <xdr:cNvPr id="3" name="Billede 2">
          <a:extLst>
            <a:ext uri="{FF2B5EF4-FFF2-40B4-BE49-F238E27FC236}">
              <a16:creationId xmlns:a16="http://schemas.microsoft.com/office/drawing/2014/main" id="{01203533-2795-438E-93F0-2652B6F96789}"/>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8915108" y="3353093"/>
          <a:ext cx="228571" cy="228571"/>
        </a:xfrm>
        <a:prstGeom prst="rect">
          <a:avLst/>
        </a:prstGeom>
      </xdr:spPr>
    </xdr:pic>
    <xdr:clientData fPrintsWithSheet="0"/>
  </xdr:twoCellAnchor>
  <xdr:twoCellAnchor editAs="oneCell">
    <xdr:from>
      <xdr:col>11</xdr:col>
      <xdr:colOff>361225</xdr:colOff>
      <xdr:row>12</xdr:row>
      <xdr:rowOff>164031</xdr:rowOff>
    </xdr:from>
    <xdr:to>
      <xdr:col>12</xdr:col>
      <xdr:colOff>1905000</xdr:colOff>
      <xdr:row>15</xdr:row>
      <xdr:rowOff>91966</xdr:rowOff>
    </xdr:to>
    <xdr:pic>
      <xdr:nvPicPr>
        <xdr:cNvPr id="7" name="Billede 6">
          <a:hlinkClick xmlns:r="http://schemas.openxmlformats.org/officeDocument/2006/relationships" r:id="rId5"/>
          <a:extLst>
            <a:ext uri="{FF2B5EF4-FFF2-40B4-BE49-F238E27FC236}">
              <a16:creationId xmlns:a16="http://schemas.microsoft.com/office/drawing/2014/main" id="{4D4C5309-5C66-E28F-6E3E-7834712F532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6552475" y="2478606"/>
          <a:ext cx="2105750" cy="543250"/>
        </a:xfrm>
        <a:prstGeom prst="rect">
          <a:avLst/>
        </a:prstGeom>
      </xdr:spPr>
    </xdr:pic>
    <xdr:clientData/>
  </xdr:twoCellAnchor>
  <xdr:twoCellAnchor editAs="oneCell">
    <xdr:from>
      <xdr:col>12</xdr:col>
      <xdr:colOff>2185834</xdr:colOff>
      <xdr:row>1</xdr:row>
      <xdr:rowOff>63672</xdr:rowOff>
    </xdr:from>
    <xdr:to>
      <xdr:col>14</xdr:col>
      <xdr:colOff>98096</xdr:colOff>
      <xdr:row>2</xdr:row>
      <xdr:rowOff>169950</xdr:rowOff>
    </xdr:to>
    <xdr:pic>
      <xdr:nvPicPr>
        <xdr:cNvPr id="5" name="Billede 4" descr="United states, us, usa, waving, american flag, north america icon - Download on Iconfinder">
          <a:extLst>
            <a:ext uri="{FF2B5EF4-FFF2-40B4-BE49-F238E27FC236}">
              <a16:creationId xmlns:a16="http://schemas.microsoft.com/office/drawing/2014/main" id="{888C0694-B46F-4677-9234-19E26C8501C8}"/>
            </a:ext>
          </a:extLst>
        </xdr:cNvPr>
        <xdr:cNvPicPr>
          <a:picLocks noChangeAspect="1" noChangeArrowheads="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bwMode="auto">
        <a:xfrm rot="20517199">
          <a:off x="8939059" y="254172"/>
          <a:ext cx="405907" cy="3101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542925</xdr:colOff>
      <xdr:row>6</xdr:row>
      <xdr:rowOff>0</xdr:rowOff>
    </xdr:from>
    <xdr:to>
      <xdr:col>9</xdr:col>
      <xdr:colOff>542925</xdr:colOff>
      <xdr:row>15</xdr:row>
      <xdr:rowOff>47625</xdr:rowOff>
    </xdr:to>
    <xdr:cxnSp macro="">
      <xdr:nvCxnSpPr>
        <xdr:cNvPr id="8" name="Lige forbindelse 7">
          <a:extLst>
            <a:ext uri="{FF2B5EF4-FFF2-40B4-BE49-F238E27FC236}">
              <a16:creationId xmlns:a16="http://schemas.microsoft.com/office/drawing/2014/main" id="{01643BBE-D488-08DA-6B08-4F1E4965FC97}"/>
            </a:ext>
          </a:extLst>
        </xdr:cNvPr>
        <xdr:cNvCxnSpPr/>
      </xdr:nvCxnSpPr>
      <xdr:spPr>
        <a:xfrm>
          <a:off x="5808345" y="1059180"/>
          <a:ext cx="0" cy="1884045"/>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2143125</xdr:colOff>
      <xdr:row>4</xdr:row>
      <xdr:rowOff>66675</xdr:rowOff>
    </xdr:from>
    <xdr:to>
      <xdr:col>14</xdr:col>
      <xdr:colOff>171450</xdr:colOff>
      <xdr:row>7</xdr:row>
      <xdr:rowOff>57150</xdr:rowOff>
    </xdr:to>
    <xdr:pic>
      <xdr:nvPicPr>
        <xdr:cNvPr id="4" name="Billede 3" descr="Youtube - Free social media icons">
          <a:hlinkClick xmlns:r="http://schemas.openxmlformats.org/officeDocument/2006/relationships" r:id="rId8"/>
          <a:extLst>
            <a:ext uri="{FF2B5EF4-FFF2-40B4-BE49-F238E27FC236}">
              <a16:creationId xmlns:a16="http://schemas.microsoft.com/office/drawing/2014/main" id="{66130DFC-7422-4BCA-AF8C-1006943A87BA}"/>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a:off x="8896350" y="828675"/>
          <a:ext cx="5048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359274</xdr:colOff>
      <xdr:row>3</xdr:row>
      <xdr:rowOff>169765</xdr:rowOff>
    </xdr:to>
    <xdr:pic>
      <xdr:nvPicPr>
        <xdr:cNvPr id="2" name="Billede 1">
          <a:hlinkClick xmlns:r="http://schemas.openxmlformats.org/officeDocument/2006/relationships" r:id="rId1"/>
          <a:extLst>
            <a:ext uri="{FF2B5EF4-FFF2-40B4-BE49-F238E27FC236}">
              <a16:creationId xmlns:a16="http://schemas.microsoft.com/office/drawing/2014/main" id="{A7D17BF0-E0D2-423E-9584-4F10E6FCC9C3}"/>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absolute">
    <xdr:from>
      <xdr:col>10</xdr:col>
      <xdr:colOff>207015</xdr:colOff>
      <xdr:row>0</xdr:row>
      <xdr:rowOff>190277</xdr:rowOff>
    </xdr:from>
    <xdr:to>
      <xdr:col>10</xdr:col>
      <xdr:colOff>683653</xdr:colOff>
      <xdr:row>2</xdr:row>
      <xdr:rowOff>169827</xdr:rowOff>
    </xdr:to>
    <xdr:pic>
      <xdr:nvPicPr>
        <xdr:cNvPr id="5" name="Billede 4">
          <a:extLst>
            <a:ext uri="{FF2B5EF4-FFF2-40B4-BE49-F238E27FC236}">
              <a16:creationId xmlns:a16="http://schemas.microsoft.com/office/drawing/2014/main" id="{76B984BE-4D6A-4BEA-A6A2-00F86F0909D1}"/>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xdr:blipFill>
      <xdr:spPr bwMode="auto">
        <a:xfrm rot="20992795">
          <a:off x="4939035" y="190277"/>
          <a:ext cx="469018" cy="371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28575</xdr:colOff>
      <xdr:row>47</xdr:row>
      <xdr:rowOff>152402</xdr:rowOff>
    </xdr:from>
    <xdr:to>
      <xdr:col>4</xdr:col>
      <xdr:colOff>590843</xdr:colOff>
      <xdr:row>62</xdr:row>
      <xdr:rowOff>174902</xdr:rowOff>
    </xdr:to>
    <xdr:pic>
      <xdr:nvPicPr>
        <xdr:cNvPr id="6" name="Billede 5" descr="Ingen tilgængelig beskrivelse.">
          <a:extLst>
            <a:ext uri="{FF2B5EF4-FFF2-40B4-BE49-F238E27FC236}">
              <a16:creationId xmlns:a16="http://schemas.microsoft.com/office/drawing/2014/main" id="{5EDB8940-B12E-0F2A-BBF1-641C14F07BDD}"/>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266700" y="8839202"/>
          <a:ext cx="2303438" cy="2880000"/>
        </a:xfrm>
        <a:prstGeom prst="rect">
          <a:avLst/>
        </a:prstGeom>
        <a:noFill/>
        <a:ln w="19050">
          <a:solidFill>
            <a:srgbClr val="EBCF32"/>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352425</xdr:colOff>
      <xdr:row>47</xdr:row>
      <xdr:rowOff>142876</xdr:rowOff>
    </xdr:from>
    <xdr:to>
      <xdr:col>10</xdr:col>
      <xdr:colOff>554648</xdr:colOff>
      <xdr:row>62</xdr:row>
      <xdr:rowOff>172996</xdr:rowOff>
    </xdr:to>
    <xdr:pic>
      <xdr:nvPicPr>
        <xdr:cNvPr id="7" name="Billede 6" descr="Ingen tilgængelig beskrivelse.">
          <a:extLst>
            <a:ext uri="{FF2B5EF4-FFF2-40B4-BE49-F238E27FC236}">
              <a16:creationId xmlns:a16="http://schemas.microsoft.com/office/drawing/2014/main" id="{171F9803-A629-94A8-98DC-B515547E9161}"/>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2981325" y="8829676"/>
          <a:ext cx="2303438" cy="2880000"/>
        </a:xfrm>
        <a:prstGeom prst="rect">
          <a:avLst/>
        </a:prstGeom>
        <a:noFill/>
        <a:ln w="19050">
          <a:solidFill>
            <a:srgbClr val="EBCF32"/>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47625</xdr:colOff>
      <xdr:row>47</xdr:row>
      <xdr:rowOff>133349</xdr:rowOff>
    </xdr:from>
    <xdr:to>
      <xdr:col>14</xdr:col>
      <xdr:colOff>152194</xdr:colOff>
      <xdr:row>62</xdr:row>
      <xdr:rowOff>155849</xdr:rowOff>
    </xdr:to>
    <xdr:pic>
      <xdr:nvPicPr>
        <xdr:cNvPr id="8" name="Billede 7" descr="Ingen tilgængelig beskrivelse.">
          <a:extLst>
            <a:ext uri="{FF2B5EF4-FFF2-40B4-BE49-F238E27FC236}">
              <a16:creationId xmlns:a16="http://schemas.microsoft.com/office/drawing/2014/main" id="{0434EAAC-402E-E1E3-7F3D-308BCDC0D5D6}"/>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5724525" y="8820149"/>
          <a:ext cx="2304844" cy="2880000"/>
        </a:xfrm>
        <a:prstGeom prst="rect">
          <a:avLst/>
        </a:prstGeom>
        <a:noFill/>
        <a:ln w="19050">
          <a:solidFill>
            <a:srgbClr val="EBCF32"/>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123825</xdr:colOff>
      <xdr:row>12</xdr:row>
      <xdr:rowOff>171450</xdr:rowOff>
    </xdr:from>
    <xdr:to>
      <xdr:col>13</xdr:col>
      <xdr:colOff>363826</xdr:colOff>
      <xdr:row>14</xdr:row>
      <xdr:rowOff>1213</xdr:rowOff>
    </xdr:to>
    <xdr:pic macro="[0]!Denne_projektmappe.Printer">
      <xdr:nvPicPr>
        <xdr:cNvPr id="10" name="Billede 9">
          <a:extLst>
            <a:ext uri="{FF2B5EF4-FFF2-40B4-BE49-F238E27FC236}">
              <a16:creationId xmlns:a16="http://schemas.microsoft.com/office/drawing/2014/main" id="{C982E10E-ADE3-4E62-B89E-86D11CC00707}"/>
            </a:ext>
          </a:extLst>
        </xdr:cNvPr>
        <xdr:cNvPicPr>
          <a:picLocks noChangeAspect="1"/>
        </xdr:cNvPicPr>
      </xdr:nvPicPr>
      <xdr:blipFill>
        <a:blip xmlns:r="http://schemas.openxmlformats.org/officeDocument/2006/relationships" r:embed="rId7" cstate="email">
          <a:duotone>
            <a:prstClr val="black"/>
            <a:schemeClr val="tx2">
              <a:tint val="45000"/>
              <a:satMod val="400000"/>
            </a:schemeClr>
          </a:duotone>
          <a:extLst>
            <a:ext uri="{BEBA8EAE-BF5A-486C-A8C5-ECC9F3942E4B}">
              <a14:imgProps xmlns:a14="http://schemas.microsoft.com/office/drawing/2010/main">
                <a14:imgLayer r:embed="rId8">
                  <a14:imgEffect>
                    <a14:brightnessContrast bright="-40000"/>
                  </a14:imgEffect>
                </a14:imgLayer>
              </a14:imgProps>
            </a:ext>
            <a:ext uri="{28A0092B-C50C-407E-A947-70E740481C1C}">
              <a14:useLocalDpi xmlns:a14="http://schemas.microsoft.com/office/drawing/2010/main"/>
            </a:ext>
          </a:extLst>
        </a:blip>
        <a:stretch>
          <a:fillRect/>
        </a:stretch>
      </xdr:blipFill>
      <xdr:spPr>
        <a:xfrm>
          <a:off x="7534275" y="2476500"/>
          <a:ext cx="228571" cy="228571"/>
        </a:xfrm>
        <a:prstGeom prst="rect">
          <a:avLst/>
        </a:prstGeom>
      </xdr:spPr>
    </xdr:pic>
    <xdr:clientData fPrintsWithSheet="0"/>
  </xdr:twoCellAnchor>
  <xdr:twoCellAnchor>
    <xdr:from>
      <xdr:col>7</xdr:col>
      <xdr:colOff>266700</xdr:colOff>
      <xdr:row>6</xdr:row>
      <xdr:rowOff>76200</xdr:rowOff>
    </xdr:from>
    <xdr:to>
      <xdr:col>7</xdr:col>
      <xdr:colOff>266700</xdr:colOff>
      <xdr:row>11</xdr:row>
      <xdr:rowOff>38100</xdr:rowOff>
    </xdr:to>
    <xdr:cxnSp macro="">
      <xdr:nvCxnSpPr>
        <xdr:cNvPr id="12" name="Lige forbindelse 11">
          <a:extLst>
            <a:ext uri="{FF2B5EF4-FFF2-40B4-BE49-F238E27FC236}">
              <a16:creationId xmlns:a16="http://schemas.microsoft.com/office/drawing/2014/main" id="{CEBDE57E-1355-4BBE-A34C-0FD942AD5736}"/>
            </a:ext>
          </a:extLst>
        </xdr:cNvPr>
        <xdr:cNvCxnSpPr/>
      </xdr:nvCxnSpPr>
      <xdr:spPr>
        <a:xfrm flipV="1">
          <a:off x="3562350" y="1152525"/>
          <a:ext cx="0" cy="99060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72718</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6F18C76D-CC3F-4BFB-8723-4A9BC7166B4C}"/>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absolute">
    <xdr:from>
      <xdr:col>12</xdr:col>
      <xdr:colOff>1317968</xdr:colOff>
      <xdr:row>13</xdr:row>
      <xdr:rowOff>148883</xdr:rowOff>
    </xdr:from>
    <xdr:to>
      <xdr:col>12</xdr:col>
      <xdr:colOff>1546539</xdr:colOff>
      <xdr:row>14</xdr:row>
      <xdr:rowOff>76464</xdr:rowOff>
    </xdr:to>
    <xdr:pic macro="[0]!Denne_projektmappe.Printer">
      <xdr:nvPicPr>
        <xdr:cNvPr id="3" name="Billede 2">
          <a:extLst>
            <a:ext uri="{FF2B5EF4-FFF2-40B4-BE49-F238E27FC236}">
              <a16:creationId xmlns:a16="http://schemas.microsoft.com/office/drawing/2014/main" id="{15C7EE14-E90F-40DB-9675-6F4A18C74DAC}"/>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9105608" y="2743493"/>
          <a:ext cx="228571" cy="228571"/>
        </a:xfrm>
        <a:prstGeom prst="rect">
          <a:avLst/>
        </a:prstGeom>
      </xdr:spPr>
    </xdr:pic>
    <xdr:clientData fPrintsWithSheet="0"/>
  </xdr:twoCellAnchor>
  <xdr:twoCellAnchor editAs="oneCell">
    <xdr:from>
      <xdr:col>5</xdr:col>
      <xdr:colOff>494740</xdr:colOff>
      <xdr:row>1</xdr:row>
      <xdr:rowOff>47624</xdr:rowOff>
    </xdr:from>
    <xdr:to>
      <xdr:col>6</xdr:col>
      <xdr:colOff>403757</xdr:colOff>
      <xdr:row>2</xdr:row>
      <xdr:rowOff>174901</xdr:rowOff>
    </xdr:to>
    <xdr:pic>
      <xdr:nvPicPr>
        <xdr:cNvPr id="4" name="Billede 3" descr="Flag of Italy - Waving">
          <a:extLst>
            <a:ext uri="{FF2B5EF4-FFF2-40B4-BE49-F238E27FC236}">
              <a16:creationId xmlns:a16="http://schemas.microsoft.com/office/drawing/2014/main" id="{0ED6F581-EC89-4034-B368-F3F82DEEE335}"/>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3885640" y="238124"/>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66675</xdr:colOff>
      <xdr:row>55</xdr:row>
      <xdr:rowOff>28575</xdr:rowOff>
    </xdr:from>
    <xdr:to>
      <xdr:col>7</xdr:col>
      <xdr:colOff>148590</xdr:colOff>
      <xdr:row>69</xdr:row>
      <xdr:rowOff>3706</xdr:rowOff>
    </xdr:to>
    <xdr:pic>
      <xdr:nvPicPr>
        <xdr:cNvPr id="11" name="Billede 10">
          <a:extLst>
            <a:ext uri="{FF2B5EF4-FFF2-40B4-BE49-F238E27FC236}">
              <a16:creationId xmlns:a16="http://schemas.microsoft.com/office/drawing/2014/main" id="{8CBE6182-99A0-935F-3C02-E7A282251A73}"/>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2543175" y="11115675"/>
          <a:ext cx="2114550" cy="2644036"/>
        </a:xfrm>
        <a:prstGeom prst="rect">
          <a:avLst/>
        </a:prstGeom>
      </xdr:spPr>
    </xdr:pic>
    <xdr:clientData/>
  </xdr:twoCellAnchor>
  <xdr:twoCellAnchor editAs="oneCell">
    <xdr:from>
      <xdr:col>11</xdr:col>
      <xdr:colOff>464324</xdr:colOff>
      <xdr:row>55</xdr:row>
      <xdr:rowOff>35699</xdr:rowOff>
    </xdr:from>
    <xdr:to>
      <xdr:col>14</xdr:col>
      <xdr:colOff>22859</xdr:colOff>
      <xdr:row>69</xdr:row>
      <xdr:rowOff>34321</xdr:rowOff>
    </xdr:to>
    <xdr:pic>
      <xdr:nvPicPr>
        <xdr:cNvPr id="13" name="Billede 12">
          <a:extLst>
            <a:ext uri="{FF2B5EF4-FFF2-40B4-BE49-F238E27FC236}">
              <a16:creationId xmlns:a16="http://schemas.microsoft.com/office/drawing/2014/main" id="{CD125448-D49E-8065-EC44-FF7DC5DD734D}"/>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7274699" y="11122799"/>
          <a:ext cx="2145525" cy="2682767"/>
        </a:xfrm>
        <a:prstGeom prst="rect">
          <a:avLst/>
        </a:prstGeom>
      </xdr:spPr>
    </xdr:pic>
    <xdr:clientData/>
  </xdr:twoCellAnchor>
  <xdr:twoCellAnchor editAs="oneCell">
    <xdr:from>
      <xdr:col>1</xdr:col>
      <xdr:colOff>52350</xdr:colOff>
      <xdr:row>55</xdr:row>
      <xdr:rowOff>33299</xdr:rowOff>
    </xdr:from>
    <xdr:to>
      <xdr:col>3</xdr:col>
      <xdr:colOff>1253490</xdr:colOff>
      <xdr:row>69</xdr:row>
      <xdr:rowOff>3104</xdr:rowOff>
    </xdr:to>
    <xdr:pic>
      <xdr:nvPicPr>
        <xdr:cNvPr id="15" name="Billede 14">
          <a:extLst>
            <a:ext uri="{FF2B5EF4-FFF2-40B4-BE49-F238E27FC236}">
              <a16:creationId xmlns:a16="http://schemas.microsoft.com/office/drawing/2014/main" id="{03E66395-CA09-C0B0-32A7-27A86203046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214275" y="11120399"/>
          <a:ext cx="2100300" cy="2625375"/>
        </a:xfrm>
        <a:prstGeom prst="rect">
          <a:avLst/>
        </a:prstGeom>
      </xdr:spPr>
    </xdr:pic>
    <xdr:clientData/>
  </xdr:twoCellAnchor>
  <xdr:twoCellAnchor editAs="oneCell">
    <xdr:from>
      <xdr:col>8</xdr:col>
      <xdr:colOff>202350</xdr:colOff>
      <xdr:row>55</xdr:row>
      <xdr:rowOff>30900</xdr:rowOff>
    </xdr:from>
    <xdr:to>
      <xdr:col>11</xdr:col>
      <xdr:colOff>224790</xdr:colOff>
      <xdr:row>69</xdr:row>
      <xdr:rowOff>3603</xdr:rowOff>
    </xdr:to>
    <xdr:pic>
      <xdr:nvPicPr>
        <xdr:cNvPr id="17" name="Billede 16">
          <a:extLst>
            <a:ext uri="{FF2B5EF4-FFF2-40B4-BE49-F238E27FC236}">
              <a16:creationId xmlns:a16="http://schemas.microsoft.com/office/drawing/2014/main" id="{98E3A9AC-A691-8716-5FA2-D8BF537224A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4898175" y="11118000"/>
          <a:ext cx="2121750" cy="26530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359274</xdr:colOff>
      <xdr:row>3</xdr:row>
      <xdr:rowOff>169765</xdr:rowOff>
    </xdr:to>
    <xdr:pic>
      <xdr:nvPicPr>
        <xdr:cNvPr id="2" name="Billede 1">
          <a:hlinkClick xmlns:r="http://schemas.openxmlformats.org/officeDocument/2006/relationships" r:id="rId1"/>
          <a:extLst>
            <a:ext uri="{FF2B5EF4-FFF2-40B4-BE49-F238E27FC236}">
              <a16:creationId xmlns:a16="http://schemas.microsoft.com/office/drawing/2014/main" id="{85084854-E7B9-4333-A8B9-8367C26B70F5}"/>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13</xdr:col>
      <xdr:colOff>133350</xdr:colOff>
      <xdr:row>14</xdr:row>
      <xdr:rowOff>180975</xdr:rowOff>
    </xdr:from>
    <xdr:to>
      <xdr:col>13</xdr:col>
      <xdr:colOff>361921</xdr:colOff>
      <xdr:row>16</xdr:row>
      <xdr:rowOff>20926</xdr:rowOff>
    </xdr:to>
    <xdr:pic macro="[0]!Denne_projektmappe.Printer">
      <xdr:nvPicPr>
        <xdr:cNvPr id="3" name="Billede 2">
          <a:extLst>
            <a:ext uri="{FF2B5EF4-FFF2-40B4-BE49-F238E27FC236}">
              <a16:creationId xmlns:a16="http://schemas.microsoft.com/office/drawing/2014/main" id="{341CCB40-8DF0-454A-BFC7-23BE6EFEE72C}"/>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600950" y="2886075"/>
          <a:ext cx="228571" cy="228571"/>
        </a:xfrm>
        <a:prstGeom prst="rect">
          <a:avLst/>
        </a:prstGeom>
      </xdr:spPr>
    </xdr:pic>
    <xdr:clientData fPrintsWithSheet="0"/>
  </xdr:twoCellAnchor>
  <xdr:twoCellAnchor>
    <xdr:from>
      <xdr:col>11</xdr:col>
      <xdr:colOff>468630</xdr:colOff>
      <xdr:row>6</xdr:row>
      <xdr:rowOff>76200</xdr:rowOff>
    </xdr:from>
    <xdr:to>
      <xdr:col>11</xdr:col>
      <xdr:colOff>468630</xdr:colOff>
      <xdr:row>13</xdr:row>
      <xdr:rowOff>53340</xdr:rowOff>
    </xdr:to>
    <xdr:cxnSp macro="">
      <xdr:nvCxnSpPr>
        <xdr:cNvPr id="4" name="Lige forbindelse 3">
          <a:extLst>
            <a:ext uri="{FF2B5EF4-FFF2-40B4-BE49-F238E27FC236}">
              <a16:creationId xmlns:a16="http://schemas.microsoft.com/office/drawing/2014/main" id="{199E1A7D-374F-408C-8E6B-F73545793AFF}"/>
            </a:ext>
          </a:extLst>
        </xdr:cNvPr>
        <xdr:cNvCxnSpPr/>
      </xdr:nvCxnSpPr>
      <xdr:spPr>
        <a:xfrm flipV="1">
          <a:off x="6116955" y="1143000"/>
          <a:ext cx="0" cy="140589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266700</xdr:colOff>
      <xdr:row>6</xdr:row>
      <xdr:rowOff>76200</xdr:rowOff>
    </xdr:from>
    <xdr:to>
      <xdr:col>7</xdr:col>
      <xdr:colOff>266700</xdr:colOff>
      <xdr:row>13</xdr:row>
      <xdr:rowOff>38100</xdr:rowOff>
    </xdr:to>
    <xdr:cxnSp macro="">
      <xdr:nvCxnSpPr>
        <xdr:cNvPr id="5" name="Lige forbindelse 4">
          <a:extLst>
            <a:ext uri="{FF2B5EF4-FFF2-40B4-BE49-F238E27FC236}">
              <a16:creationId xmlns:a16="http://schemas.microsoft.com/office/drawing/2014/main" id="{933ED658-5C83-483C-B400-2FA6FA2B5BA1}"/>
            </a:ext>
          </a:extLst>
        </xdr:cNvPr>
        <xdr:cNvCxnSpPr/>
      </xdr:nvCxnSpPr>
      <xdr:spPr>
        <a:xfrm flipV="1">
          <a:off x="3562350" y="1152525"/>
          <a:ext cx="0" cy="139065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695325</xdr:colOff>
      <xdr:row>1</xdr:row>
      <xdr:rowOff>85725</xdr:rowOff>
    </xdr:from>
    <xdr:to>
      <xdr:col>12</xdr:col>
      <xdr:colOff>1013407</xdr:colOff>
      <xdr:row>2</xdr:row>
      <xdr:rowOff>132418</xdr:rowOff>
    </xdr:to>
    <xdr:pic>
      <xdr:nvPicPr>
        <xdr:cNvPr id="7" name="Billede 6" descr="United states, us, usa, waving, american flag, north america icon - Download on Iconfinder">
          <a:extLst>
            <a:ext uri="{FF2B5EF4-FFF2-40B4-BE49-F238E27FC236}">
              <a16:creationId xmlns:a16="http://schemas.microsoft.com/office/drawing/2014/main" id="{08C6298B-AE78-4A8A-B51D-C69397E2DFC1}"/>
            </a:ext>
          </a:extLst>
        </xdr:cNvPr>
        <xdr:cNvPicPr>
          <a:picLocks noChangeAspect="1" noChangeArrowheads="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bwMode="auto">
        <a:xfrm rot="20517199">
          <a:off x="7124700" y="276225"/>
          <a:ext cx="310462" cy="2371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828675</xdr:colOff>
      <xdr:row>7</xdr:row>
      <xdr:rowOff>47625</xdr:rowOff>
    </xdr:from>
    <xdr:to>
      <xdr:col>12</xdr:col>
      <xdr:colOff>1122045</xdr:colOff>
      <xdr:row>13</xdr:row>
      <xdr:rowOff>15240</xdr:rowOff>
    </xdr:to>
    <xdr:pic>
      <xdr:nvPicPr>
        <xdr:cNvPr id="9" name="Billede 8">
          <a:hlinkClick xmlns:r="http://schemas.openxmlformats.org/officeDocument/2006/relationships" r:id="rId6"/>
          <a:extLst>
            <a:ext uri="{FF2B5EF4-FFF2-40B4-BE49-F238E27FC236}">
              <a16:creationId xmlns:a16="http://schemas.microsoft.com/office/drawing/2014/main" id="{6B0E1C50-ABDA-7372-15E8-4FAECC7EA2E8}"/>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6334125" y="1323975"/>
          <a:ext cx="1200150" cy="1200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228600</xdr:colOff>
      <xdr:row>4</xdr:row>
      <xdr:rowOff>0</xdr:rowOff>
    </xdr:from>
    <xdr:to>
      <xdr:col>15</xdr:col>
      <xdr:colOff>95250</xdr:colOff>
      <xdr:row>6</xdr:row>
      <xdr:rowOff>190500</xdr:rowOff>
    </xdr:to>
    <xdr:pic>
      <xdr:nvPicPr>
        <xdr:cNvPr id="10" name="Billede 9" descr="Youtube - Free social media icons">
          <a:hlinkClick xmlns:r="http://schemas.openxmlformats.org/officeDocument/2006/relationships" r:id="rId8"/>
          <a:extLst>
            <a:ext uri="{FF2B5EF4-FFF2-40B4-BE49-F238E27FC236}">
              <a16:creationId xmlns:a16="http://schemas.microsoft.com/office/drawing/2014/main" id="{BC21CD9B-9327-F523-839F-8415BA6126B0}"/>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a:off x="7696200" y="762000"/>
          <a:ext cx="5048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597399" cy="756505"/>
    <xdr:pic>
      <xdr:nvPicPr>
        <xdr:cNvPr id="2" name="Billede 1">
          <a:hlinkClick xmlns:r="http://schemas.openxmlformats.org/officeDocument/2006/relationships" r:id="rId1"/>
          <a:extLst>
            <a:ext uri="{FF2B5EF4-FFF2-40B4-BE49-F238E27FC236}">
              <a16:creationId xmlns:a16="http://schemas.microsoft.com/office/drawing/2014/main" id="{5BADB886-B290-4BA9-9AF9-57802B1AD2E3}"/>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oneCellAnchor>
  <xdr:oneCellAnchor>
    <xdr:from>
      <xdr:col>13</xdr:col>
      <xdr:colOff>169545</xdr:colOff>
      <xdr:row>17</xdr:row>
      <xdr:rowOff>186690</xdr:rowOff>
    </xdr:from>
    <xdr:ext cx="228572" cy="228571"/>
    <xdr:pic macro="[0]!Denne_projektmappe.Printer">
      <xdr:nvPicPr>
        <xdr:cNvPr id="3" name="Billede 2">
          <a:extLst>
            <a:ext uri="{FF2B5EF4-FFF2-40B4-BE49-F238E27FC236}">
              <a16:creationId xmlns:a16="http://schemas.microsoft.com/office/drawing/2014/main" id="{E608CBEA-35C9-4396-8C78-4749104CB04C}"/>
            </a:ext>
          </a:extLst>
        </xdr:cNvPr>
        <xdr:cNvPicPr>
          <a:picLocks noChangeAspect="1"/>
        </xdr:cNvPicPr>
      </xdr:nvPicPr>
      <xdr:blipFill>
        <a:blip xmlns:r="http://schemas.openxmlformats.org/officeDocument/2006/relationships" r:embed="rId3">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850505" y="3554730"/>
          <a:ext cx="228572" cy="228571"/>
        </a:xfrm>
        <a:prstGeom prst="rect">
          <a:avLst/>
        </a:prstGeom>
      </xdr:spPr>
    </xdr:pic>
    <xdr:clientData fPrintsWithSheet="0"/>
  </xdr:oneCellAnchor>
  <xdr:oneCellAnchor>
    <xdr:from>
      <xdr:col>9</xdr:col>
      <xdr:colOff>21768</xdr:colOff>
      <xdr:row>1</xdr:row>
      <xdr:rowOff>33066</xdr:rowOff>
    </xdr:from>
    <xdr:ext cx="376964" cy="288000"/>
    <xdr:pic>
      <xdr:nvPicPr>
        <xdr:cNvPr id="5" name="Billede 4" descr="United states, us, usa, waving, american flag, north america icon - Download on Iconfinder">
          <a:extLst>
            <a:ext uri="{FF2B5EF4-FFF2-40B4-BE49-F238E27FC236}">
              <a16:creationId xmlns:a16="http://schemas.microsoft.com/office/drawing/2014/main" id="{10D73371-B956-48CE-81B7-2C6903D2C138}"/>
            </a:ext>
          </a:extLst>
        </xdr:cNvPr>
        <xdr:cNvPicPr>
          <a:picLocks noChangeAspect="1" noChangeArrowheads="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bwMode="auto">
        <a:xfrm rot="20517199">
          <a:off x="4327068" y="223566"/>
          <a:ext cx="376964" cy="288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359274</xdr:colOff>
      <xdr:row>3</xdr:row>
      <xdr:rowOff>169765</xdr:rowOff>
    </xdr:to>
    <xdr:pic>
      <xdr:nvPicPr>
        <xdr:cNvPr id="2" name="Billede 1">
          <a:hlinkClick xmlns:r="http://schemas.openxmlformats.org/officeDocument/2006/relationships" r:id="rId1"/>
          <a:extLst>
            <a:ext uri="{FF2B5EF4-FFF2-40B4-BE49-F238E27FC236}">
              <a16:creationId xmlns:a16="http://schemas.microsoft.com/office/drawing/2014/main" id="{F1DFBDDE-8384-47A4-BE18-4863E9F7E5CF}"/>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603114" cy="756505"/>
        </a:xfrm>
        <a:prstGeom prst="rect">
          <a:avLst/>
        </a:prstGeom>
      </xdr:spPr>
    </xdr:pic>
    <xdr:clientData/>
  </xdr:twoCellAnchor>
  <xdr:twoCellAnchor editAs="oneCell">
    <xdr:from>
      <xdr:col>13</xdr:col>
      <xdr:colOff>133350</xdr:colOff>
      <xdr:row>14</xdr:row>
      <xdr:rowOff>180975</xdr:rowOff>
    </xdr:from>
    <xdr:to>
      <xdr:col>13</xdr:col>
      <xdr:colOff>361921</xdr:colOff>
      <xdr:row>16</xdr:row>
      <xdr:rowOff>20926</xdr:rowOff>
    </xdr:to>
    <xdr:pic macro="[0]!Denne_projektmappe.Printer">
      <xdr:nvPicPr>
        <xdr:cNvPr id="3" name="Billede 2">
          <a:extLst>
            <a:ext uri="{FF2B5EF4-FFF2-40B4-BE49-F238E27FC236}">
              <a16:creationId xmlns:a16="http://schemas.microsoft.com/office/drawing/2014/main" id="{AE06D910-2D23-4A1B-96DD-87E5B0BB39DD}"/>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806690" y="2855595"/>
          <a:ext cx="228571" cy="224761"/>
        </a:xfrm>
        <a:prstGeom prst="rect">
          <a:avLst/>
        </a:prstGeom>
      </xdr:spPr>
    </xdr:pic>
    <xdr:clientData fPrintsWithSheet="0"/>
  </xdr:twoCellAnchor>
  <xdr:twoCellAnchor>
    <xdr:from>
      <xdr:col>11</xdr:col>
      <xdr:colOff>598170</xdr:colOff>
      <xdr:row>6</xdr:row>
      <xdr:rowOff>76200</xdr:rowOff>
    </xdr:from>
    <xdr:to>
      <xdr:col>11</xdr:col>
      <xdr:colOff>598170</xdr:colOff>
      <xdr:row>13</xdr:row>
      <xdr:rowOff>53340</xdr:rowOff>
    </xdr:to>
    <xdr:cxnSp macro="">
      <xdr:nvCxnSpPr>
        <xdr:cNvPr id="4" name="Lige forbindelse 3">
          <a:extLst>
            <a:ext uri="{FF2B5EF4-FFF2-40B4-BE49-F238E27FC236}">
              <a16:creationId xmlns:a16="http://schemas.microsoft.com/office/drawing/2014/main" id="{B704822A-607E-44E7-A374-613780D978B0}"/>
            </a:ext>
          </a:extLst>
        </xdr:cNvPr>
        <xdr:cNvCxnSpPr/>
      </xdr:nvCxnSpPr>
      <xdr:spPr>
        <a:xfrm flipV="1">
          <a:off x="6246495" y="1143000"/>
          <a:ext cx="0" cy="140589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266700</xdr:colOff>
      <xdr:row>6</xdr:row>
      <xdr:rowOff>76200</xdr:rowOff>
    </xdr:from>
    <xdr:to>
      <xdr:col>7</xdr:col>
      <xdr:colOff>266700</xdr:colOff>
      <xdr:row>13</xdr:row>
      <xdr:rowOff>38100</xdr:rowOff>
    </xdr:to>
    <xdr:cxnSp macro="">
      <xdr:nvCxnSpPr>
        <xdr:cNvPr id="5" name="Lige forbindelse 4">
          <a:extLst>
            <a:ext uri="{FF2B5EF4-FFF2-40B4-BE49-F238E27FC236}">
              <a16:creationId xmlns:a16="http://schemas.microsoft.com/office/drawing/2014/main" id="{E38B88A7-A7A3-4EAA-95FD-5177FEA9108E}"/>
            </a:ext>
          </a:extLst>
        </xdr:cNvPr>
        <xdr:cNvCxnSpPr/>
      </xdr:nvCxnSpPr>
      <xdr:spPr>
        <a:xfrm flipV="1">
          <a:off x="3649980" y="1143000"/>
          <a:ext cx="0" cy="137160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161926</xdr:colOff>
      <xdr:row>1</xdr:row>
      <xdr:rowOff>100964</xdr:rowOff>
    </xdr:from>
    <xdr:to>
      <xdr:col>10</xdr:col>
      <xdr:colOff>480008</xdr:colOff>
      <xdr:row>2</xdr:row>
      <xdr:rowOff>132417</xdr:rowOff>
    </xdr:to>
    <xdr:pic>
      <xdr:nvPicPr>
        <xdr:cNvPr id="6" name="Billede 5" descr="United states, us, usa, waving, american flag, north america icon - Download on Iconfinder">
          <a:extLst>
            <a:ext uri="{FF2B5EF4-FFF2-40B4-BE49-F238E27FC236}">
              <a16:creationId xmlns:a16="http://schemas.microsoft.com/office/drawing/2014/main" id="{40986B00-5FDD-4DC1-90A3-13B7EA941DE8}"/>
            </a:ext>
          </a:extLst>
        </xdr:cNvPr>
        <xdr:cNvPicPr>
          <a:picLocks noChangeAspect="1" noChangeArrowheads="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bwMode="auto">
        <a:xfrm rot="20517199">
          <a:off x="5015866" y="291464"/>
          <a:ext cx="310462" cy="2371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228600</xdr:colOff>
      <xdr:row>4</xdr:row>
      <xdr:rowOff>0</xdr:rowOff>
    </xdr:from>
    <xdr:to>
      <xdr:col>15</xdr:col>
      <xdr:colOff>93345</xdr:colOff>
      <xdr:row>6</xdr:row>
      <xdr:rowOff>190500</xdr:rowOff>
    </xdr:to>
    <xdr:pic>
      <xdr:nvPicPr>
        <xdr:cNvPr id="8" name="Billede 7" descr="Youtube - Free social media icons">
          <a:hlinkClick xmlns:r="http://schemas.openxmlformats.org/officeDocument/2006/relationships" r:id="rId6"/>
          <a:extLst>
            <a:ext uri="{FF2B5EF4-FFF2-40B4-BE49-F238E27FC236}">
              <a16:creationId xmlns:a16="http://schemas.microsoft.com/office/drawing/2014/main" id="{72ADBC30-379F-4CF6-88FE-930049CF9A4E}"/>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7901940" y="762000"/>
          <a:ext cx="51625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123825</xdr:colOff>
      <xdr:row>5</xdr:row>
      <xdr:rowOff>2748</xdr:rowOff>
    </xdr:from>
    <xdr:to>
      <xdr:col>13</xdr:col>
      <xdr:colOff>167640</xdr:colOff>
      <xdr:row>11</xdr:row>
      <xdr:rowOff>19050</xdr:rowOff>
    </xdr:to>
    <xdr:pic>
      <xdr:nvPicPr>
        <xdr:cNvPr id="9" name="Billede 8" descr="PizzaPal">
          <a:hlinkClick xmlns:r="http://schemas.openxmlformats.org/officeDocument/2006/relationships" r:id="rId8"/>
          <a:extLst>
            <a:ext uri="{FF2B5EF4-FFF2-40B4-BE49-F238E27FC236}">
              <a16:creationId xmlns:a16="http://schemas.microsoft.com/office/drawing/2014/main" id="{BB314F5D-D825-CAE4-F1D6-36CC8BEB919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6724650" y="974298"/>
          <a:ext cx="1101090" cy="11307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83819</xdr:colOff>
      <xdr:row>11</xdr:row>
      <xdr:rowOff>152400</xdr:rowOff>
    </xdr:from>
    <xdr:to>
      <xdr:col>13</xdr:col>
      <xdr:colOff>206722</xdr:colOff>
      <xdr:row>13</xdr:row>
      <xdr:rowOff>38100</xdr:rowOff>
    </xdr:to>
    <xdr:pic>
      <xdr:nvPicPr>
        <xdr:cNvPr id="10" name="Billede 9" descr="PizzaPal">
          <a:hlinkClick xmlns:r="http://schemas.openxmlformats.org/officeDocument/2006/relationships" r:id="rId10"/>
          <a:extLst>
            <a:ext uri="{FF2B5EF4-FFF2-40B4-BE49-F238E27FC236}">
              <a16:creationId xmlns:a16="http://schemas.microsoft.com/office/drawing/2014/main" id="{67E31C3B-84CC-4476-811C-D7975D7B7F04}"/>
            </a:ext>
          </a:extLst>
        </xdr:cNvPr>
        <xdr:cNvPicPr>
          <a:picLocks noChangeAspect="1" noChangeArrowheads="1"/>
        </xdr:cNvPicPr>
      </xdr:nvPicPr>
      <xdr:blipFill rotWithShape="1">
        <a:blip xmlns:r="http://schemas.openxmlformats.org/officeDocument/2006/relationships" r:embed="rId11" cstate="email">
          <a:lum bright="70000" contrast="-70000"/>
          <a:extLst>
            <a:ext uri="{BEBA8EAE-BF5A-486C-A8C5-ECC9F3942E4B}">
              <a14:imgProps xmlns:a14="http://schemas.microsoft.com/office/drawing/2010/main">
                <a14:imgLayer r:embed="rId12">
                  <a14:imgEffect>
                    <a14:artisticPaintStrokes/>
                  </a14:imgEffect>
                </a14:imgLayer>
              </a14:imgProps>
            </a:ext>
            <a:ext uri="{28A0092B-C50C-407E-A947-70E740481C1C}">
              <a14:useLocalDpi xmlns:a14="http://schemas.microsoft.com/office/drawing/2010/main"/>
            </a:ext>
          </a:extLst>
        </a:blip>
        <a:srcRect l="-2127" b="-9265"/>
        <a:stretch/>
      </xdr:blipFill>
      <xdr:spPr bwMode="auto">
        <a:xfrm>
          <a:off x="6684644" y="2238375"/>
          <a:ext cx="1183988"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22861</xdr:colOff>
      <xdr:row>61</xdr:row>
      <xdr:rowOff>7620</xdr:rowOff>
    </xdr:from>
    <xdr:to>
      <xdr:col>13</xdr:col>
      <xdr:colOff>401956</xdr:colOff>
      <xdr:row>70</xdr:row>
      <xdr:rowOff>174553</xdr:rowOff>
    </xdr:to>
    <xdr:pic>
      <xdr:nvPicPr>
        <xdr:cNvPr id="11" name="Billede 10">
          <a:extLst>
            <a:ext uri="{FF2B5EF4-FFF2-40B4-BE49-F238E27FC236}">
              <a16:creationId xmlns:a16="http://schemas.microsoft.com/office/drawing/2014/main" id="{67154784-084D-CB90-32ED-C4B5058BFC90}"/>
            </a:ext>
          </a:extLst>
        </xdr:cNvPr>
        <xdr:cNvPicPr>
          <a:picLocks noChangeAspect="1" noChangeArrowheads="1"/>
        </xdr:cNvPicPr>
      </xdr:nvPicPr>
      <xdr:blipFill>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bwMode="auto">
        <a:xfrm>
          <a:off x="4876801" y="12275820"/>
          <a:ext cx="3192780" cy="19500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15240</xdr:colOff>
      <xdr:row>22</xdr:row>
      <xdr:rowOff>15240</xdr:rowOff>
    </xdr:from>
    <xdr:to>
      <xdr:col>22</xdr:col>
      <xdr:colOff>151075</xdr:colOff>
      <xdr:row>30</xdr:row>
      <xdr:rowOff>78105</xdr:rowOff>
    </xdr:to>
    <xdr:pic>
      <xdr:nvPicPr>
        <xdr:cNvPr id="12" name="Billede 11" descr="New-York pizzadej mel">
          <a:extLst>
            <a:ext uri="{FF2B5EF4-FFF2-40B4-BE49-F238E27FC236}">
              <a16:creationId xmlns:a16="http://schemas.microsoft.com/office/drawing/2014/main" id="{71A914E4-39AC-E0B8-D5CE-8D894BBD3C73}"/>
            </a:ext>
          </a:extLst>
        </xdr:cNvPr>
        <xdr:cNvPicPr>
          <a:picLocks noChangeAspect="1" noChangeArrowheads="1"/>
        </xdr:cNvPicPr>
      </xdr:nvPicPr>
      <xdr:blipFill>
        <a:blip xmlns:r="http://schemas.openxmlformats.org/officeDocument/2006/relationships" r:embed="rId14" cstate="email">
          <a:extLst>
            <a:ext uri="{28A0092B-C50C-407E-A947-70E740481C1C}">
              <a14:useLocalDpi xmlns:a14="http://schemas.microsoft.com/office/drawing/2010/main"/>
            </a:ext>
          </a:extLst>
        </a:blip>
        <a:srcRect/>
        <a:stretch>
          <a:fillRect/>
        </a:stretch>
      </xdr:blipFill>
      <xdr:spPr bwMode="auto">
        <a:xfrm>
          <a:off x="8797290" y="4311015"/>
          <a:ext cx="2917135" cy="1663065"/>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20955</xdr:colOff>
      <xdr:row>31</xdr:row>
      <xdr:rowOff>85725</xdr:rowOff>
    </xdr:from>
    <xdr:to>
      <xdr:col>22</xdr:col>
      <xdr:colOff>150713</xdr:colOff>
      <xdr:row>39</xdr:row>
      <xdr:rowOff>15240</xdr:rowOff>
    </xdr:to>
    <xdr:pic>
      <xdr:nvPicPr>
        <xdr:cNvPr id="13" name="Billede 12" descr="New-York pizzadej olie">
          <a:extLst>
            <a:ext uri="{FF2B5EF4-FFF2-40B4-BE49-F238E27FC236}">
              <a16:creationId xmlns:a16="http://schemas.microsoft.com/office/drawing/2014/main" id="{3041DA86-5939-71FC-9AE9-5557D5F131A2}"/>
            </a:ext>
          </a:extLst>
        </xdr:cNvPr>
        <xdr:cNvPicPr>
          <a:picLocks noChangeAspect="1" noChangeArrowheads="1"/>
        </xdr:cNvPicPr>
      </xdr:nvPicPr>
      <xdr:blipFill>
        <a:blip xmlns:r="http://schemas.openxmlformats.org/officeDocument/2006/relationships" r:embed="rId15" cstate="email">
          <a:extLst>
            <a:ext uri="{28A0092B-C50C-407E-A947-70E740481C1C}">
              <a14:useLocalDpi xmlns:a14="http://schemas.microsoft.com/office/drawing/2010/main"/>
            </a:ext>
          </a:extLst>
        </a:blip>
        <a:srcRect/>
        <a:stretch>
          <a:fillRect/>
        </a:stretch>
      </xdr:blipFill>
      <xdr:spPr bwMode="auto">
        <a:xfrm>
          <a:off x="8803005" y="6200775"/>
          <a:ext cx="2911058" cy="1586865"/>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36195</xdr:colOff>
      <xdr:row>40</xdr:row>
      <xdr:rowOff>15241</xdr:rowOff>
    </xdr:from>
    <xdr:to>
      <xdr:col>22</xdr:col>
      <xdr:colOff>150495</xdr:colOff>
      <xdr:row>48</xdr:row>
      <xdr:rowOff>15618</xdr:rowOff>
    </xdr:to>
    <xdr:pic>
      <xdr:nvPicPr>
        <xdr:cNvPr id="14" name="Billede 13" descr="New-York pizzadej æltning">
          <a:extLst>
            <a:ext uri="{FF2B5EF4-FFF2-40B4-BE49-F238E27FC236}">
              <a16:creationId xmlns:a16="http://schemas.microsoft.com/office/drawing/2014/main" id="{5C8C6CCF-33B1-256F-2E0D-901445E44891}"/>
            </a:ext>
          </a:extLst>
        </xdr:cNvPr>
        <xdr:cNvPicPr>
          <a:picLocks noChangeAspect="1" noChangeArrowheads="1"/>
        </xdr:cNvPicPr>
      </xdr:nvPicPr>
      <xdr:blipFill>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bwMode="auto">
        <a:xfrm>
          <a:off x="8818245" y="7987666"/>
          <a:ext cx="2895600" cy="1671062"/>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40005</xdr:colOff>
      <xdr:row>48</xdr:row>
      <xdr:rowOff>190500</xdr:rowOff>
    </xdr:from>
    <xdr:to>
      <xdr:col>22</xdr:col>
      <xdr:colOff>152055</xdr:colOff>
      <xdr:row>56</xdr:row>
      <xdr:rowOff>173700</xdr:rowOff>
    </xdr:to>
    <xdr:pic>
      <xdr:nvPicPr>
        <xdr:cNvPr id="15" name="Billede 14">
          <a:extLst>
            <a:ext uri="{FF2B5EF4-FFF2-40B4-BE49-F238E27FC236}">
              <a16:creationId xmlns:a16="http://schemas.microsoft.com/office/drawing/2014/main" id="{08E1E4E9-0EC9-56D6-2281-4AF5AE2147FE}"/>
            </a:ext>
          </a:extLst>
        </xdr:cNvPr>
        <xdr:cNvPicPr>
          <a:picLocks noChangeAspect="1" noChangeArrowheads="1"/>
        </xdr:cNvPicPr>
      </xdr:nvPicPr>
      <xdr:blipFill>
        <a:blip xmlns:r="http://schemas.openxmlformats.org/officeDocument/2006/relationships" r:embed="rId17" cstate="email">
          <a:extLst>
            <a:ext uri="{28A0092B-C50C-407E-A947-70E740481C1C}">
              <a14:useLocalDpi xmlns:a14="http://schemas.microsoft.com/office/drawing/2010/main"/>
            </a:ext>
          </a:extLst>
        </a:blip>
        <a:srcRect/>
        <a:stretch>
          <a:fillRect/>
        </a:stretch>
      </xdr:blipFill>
      <xdr:spPr bwMode="auto">
        <a:xfrm>
          <a:off x="8822055" y="9839325"/>
          <a:ext cx="2893350" cy="1644360"/>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28575</xdr:colOff>
      <xdr:row>67</xdr:row>
      <xdr:rowOff>97155</xdr:rowOff>
    </xdr:from>
    <xdr:to>
      <xdr:col>22</xdr:col>
      <xdr:colOff>174915</xdr:colOff>
      <xdr:row>75</xdr:row>
      <xdr:rowOff>167640</xdr:rowOff>
    </xdr:to>
    <xdr:pic>
      <xdr:nvPicPr>
        <xdr:cNvPr id="16" name="Billede 15">
          <a:extLst>
            <a:ext uri="{FF2B5EF4-FFF2-40B4-BE49-F238E27FC236}">
              <a16:creationId xmlns:a16="http://schemas.microsoft.com/office/drawing/2014/main" id="{5A91B073-8614-EF33-BD69-6BB5B20A849F}"/>
            </a:ext>
          </a:extLst>
        </xdr:cNvPr>
        <xdr:cNvPicPr>
          <a:picLocks noChangeAspect="1" noChangeArrowheads="1"/>
        </xdr:cNvPicPr>
      </xdr:nvPicPr>
      <xdr:blipFill>
        <a:blip xmlns:r="http://schemas.openxmlformats.org/officeDocument/2006/relationships" r:embed="rId18" cstate="email">
          <a:extLst>
            <a:ext uri="{28A0092B-C50C-407E-A947-70E740481C1C}">
              <a14:useLocalDpi xmlns:a14="http://schemas.microsoft.com/office/drawing/2010/main"/>
            </a:ext>
          </a:extLst>
        </a:blip>
        <a:srcRect/>
        <a:stretch>
          <a:fillRect/>
        </a:stretch>
      </xdr:blipFill>
      <xdr:spPr bwMode="auto">
        <a:xfrm>
          <a:off x="8810625" y="13622655"/>
          <a:ext cx="2937165" cy="1636395"/>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43815</xdr:colOff>
      <xdr:row>57</xdr:row>
      <xdr:rowOff>180975</xdr:rowOff>
    </xdr:from>
    <xdr:to>
      <xdr:col>22</xdr:col>
      <xdr:colOff>169200</xdr:colOff>
      <xdr:row>66</xdr:row>
      <xdr:rowOff>17491</xdr:rowOff>
    </xdr:to>
    <xdr:pic>
      <xdr:nvPicPr>
        <xdr:cNvPr id="19" name="Billede 18">
          <a:extLst>
            <a:ext uri="{FF2B5EF4-FFF2-40B4-BE49-F238E27FC236}">
              <a16:creationId xmlns:a16="http://schemas.microsoft.com/office/drawing/2014/main" id="{565519DC-5999-788A-1637-057D90E20873}"/>
            </a:ext>
          </a:extLst>
        </xdr:cNvPr>
        <xdr:cNvPicPr>
          <a:picLocks noChangeAspect="1" noChangeArrowheads="1"/>
        </xdr:cNvPicPr>
      </xdr:nvPicPr>
      <xdr:blipFill>
        <a:blip xmlns:r="http://schemas.openxmlformats.org/officeDocument/2006/relationships" r:embed="rId19" cstate="email">
          <a:extLst>
            <a:ext uri="{28A0092B-C50C-407E-A947-70E740481C1C}">
              <a14:useLocalDpi xmlns:a14="http://schemas.microsoft.com/office/drawing/2010/main"/>
            </a:ext>
          </a:extLst>
        </a:blip>
        <a:srcRect/>
        <a:stretch>
          <a:fillRect/>
        </a:stretch>
      </xdr:blipFill>
      <xdr:spPr bwMode="auto">
        <a:xfrm>
          <a:off x="8825865" y="11687175"/>
          <a:ext cx="2897160" cy="1655791"/>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363084</xdr:colOff>
      <xdr:row>3</xdr:row>
      <xdr:rowOff>173575</xdr:rowOff>
    </xdr:to>
    <xdr:pic>
      <xdr:nvPicPr>
        <xdr:cNvPr id="2" name="Billede 1">
          <a:hlinkClick xmlns:r="http://schemas.openxmlformats.org/officeDocument/2006/relationships" r:id="rId1"/>
          <a:extLst>
            <a:ext uri="{FF2B5EF4-FFF2-40B4-BE49-F238E27FC236}">
              <a16:creationId xmlns:a16="http://schemas.microsoft.com/office/drawing/2014/main" id="{A1F3BDC9-231E-4146-8BC6-5B21E0A8349C}"/>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13</xdr:col>
      <xdr:colOff>655320</xdr:colOff>
      <xdr:row>12</xdr:row>
      <xdr:rowOff>182880</xdr:rowOff>
    </xdr:from>
    <xdr:to>
      <xdr:col>14</xdr:col>
      <xdr:colOff>85696</xdr:colOff>
      <xdr:row>14</xdr:row>
      <xdr:rowOff>3781</xdr:rowOff>
    </xdr:to>
    <xdr:pic macro="[0]!Denne_projektmappe.Printer">
      <xdr:nvPicPr>
        <xdr:cNvPr id="3" name="Billede 2">
          <a:extLst>
            <a:ext uri="{FF2B5EF4-FFF2-40B4-BE49-F238E27FC236}">
              <a16:creationId xmlns:a16="http://schemas.microsoft.com/office/drawing/2014/main" id="{3749DDB0-2EA2-4188-B44C-E9F5D6C6DEAC}"/>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658100" y="2613660"/>
          <a:ext cx="230476" cy="209521"/>
        </a:xfrm>
        <a:prstGeom prst="rect">
          <a:avLst/>
        </a:prstGeom>
      </xdr:spPr>
    </xdr:pic>
    <xdr:clientData fPrintsWithSheet="0"/>
  </xdr:twoCellAnchor>
  <xdr:twoCellAnchor editAs="oneCell">
    <xdr:from>
      <xdr:col>10</xdr:col>
      <xdr:colOff>95252</xdr:colOff>
      <xdr:row>1</xdr:row>
      <xdr:rowOff>38099</xdr:rowOff>
    </xdr:from>
    <xdr:to>
      <xdr:col>11</xdr:col>
      <xdr:colOff>97614</xdr:colOff>
      <xdr:row>2</xdr:row>
      <xdr:rowOff>152041</xdr:rowOff>
    </xdr:to>
    <xdr:pic>
      <xdr:nvPicPr>
        <xdr:cNvPr id="4" name="Billede 3" descr="Flag of Italy - Waving">
          <a:extLst>
            <a:ext uri="{FF2B5EF4-FFF2-40B4-BE49-F238E27FC236}">
              <a16:creationId xmlns:a16="http://schemas.microsoft.com/office/drawing/2014/main" id="{BBFCB76E-0516-4EA4-8320-28ACDDA630CA}"/>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5276852" y="228599"/>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359274</xdr:colOff>
      <xdr:row>3</xdr:row>
      <xdr:rowOff>169765</xdr:rowOff>
    </xdr:to>
    <xdr:pic>
      <xdr:nvPicPr>
        <xdr:cNvPr id="2" name="Billede 1">
          <a:hlinkClick xmlns:r="http://schemas.openxmlformats.org/officeDocument/2006/relationships" r:id="rId1"/>
          <a:extLst>
            <a:ext uri="{FF2B5EF4-FFF2-40B4-BE49-F238E27FC236}">
              <a16:creationId xmlns:a16="http://schemas.microsoft.com/office/drawing/2014/main" id="{6A34E49D-742C-4D7C-8A42-29466AD7A072}"/>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13</xdr:col>
      <xdr:colOff>605790</xdr:colOff>
      <xdr:row>12</xdr:row>
      <xdr:rowOff>148590</xdr:rowOff>
    </xdr:from>
    <xdr:to>
      <xdr:col>14</xdr:col>
      <xdr:colOff>55216</xdr:colOff>
      <xdr:row>13</xdr:row>
      <xdr:rowOff>171421</xdr:rowOff>
    </xdr:to>
    <xdr:pic macro="[0]!Denne_projektmappe.Printer">
      <xdr:nvPicPr>
        <xdr:cNvPr id="4" name="Billede 3">
          <a:extLst>
            <a:ext uri="{FF2B5EF4-FFF2-40B4-BE49-F238E27FC236}">
              <a16:creationId xmlns:a16="http://schemas.microsoft.com/office/drawing/2014/main" id="{AF3AE8A3-2298-4DE9-A5BE-97057DF917D4}"/>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359015" y="2567940"/>
          <a:ext cx="234286" cy="226666"/>
        </a:xfrm>
        <a:prstGeom prst="rect">
          <a:avLst/>
        </a:prstGeom>
      </xdr:spPr>
    </xdr:pic>
    <xdr:clientData fPrintsWithSheet="0"/>
  </xdr:twoCellAnchor>
  <xdr:twoCellAnchor editAs="oneCell">
    <xdr:from>
      <xdr:col>10</xdr:col>
      <xdr:colOff>95252</xdr:colOff>
      <xdr:row>1</xdr:row>
      <xdr:rowOff>38099</xdr:rowOff>
    </xdr:from>
    <xdr:to>
      <xdr:col>11</xdr:col>
      <xdr:colOff>93804</xdr:colOff>
      <xdr:row>2</xdr:row>
      <xdr:rowOff>152041</xdr:rowOff>
    </xdr:to>
    <xdr:pic>
      <xdr:nvPicPr>
        <xdr:cNvPr id="6" name="Billede 5" descr="Flag of Italy - Waving">
          <a:extLst>
            <a:ext uri="{FF2B5EF4-FFF2-40B4-BE49-F238E27FC236}">
              <a16:creationId xmlns:a16="http://schemas.microsoft.com/office/drawing/2014/main" id="{6D1BE919-E838-4D6B-BD5D-46C4F69FA2B9}"/>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5286377" y="228599"/>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9526</xdr:colOff>
      <xdr:row>54</xdr:row>
      <xdr:rowOff>66675</xdr:rowOff>
    </xdr:from>
    <xdr:to>
      <xdr:col>19</xdr:col>
      <xdr:colOff>400051</xdr:colOff>
      <xdr:row>62</xdr:row>
      <xdr:rowOff>0</xdr:rowOff>
    </xdr:to>
    <xdr:pic>
      <xdr:nvPicPr>
        <xdr:cNvPr id="3" name="Billede 2">
          <a:extLst>
            <a:ext uri="{FF2B5EF4-FFF2-40B4-BE49-F238E27FC236}">
              <a16:creationId xmlns:a16="http://schemas.microsoft.com/office/drawing/2014/main" id="{A9FBACB2-0AA4-4AF5-9A3D-001F59002D4D}"/>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9077326" y="11315700"/>
          <a:ext cx="1714500" cy="16097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17473</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26AA68F2-D566-4118-AAFC-A7BBF16DD988}"/>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12</xdr:col>
      <xdr:colOff>1535122</xdr:colOff>
      <xdr:row>13</xdr:row>
      <xdr:rowOff>2198</xdr:rowOff>
    </xdr:from>
    <xdr:to>
      <xdr:col>13</xdr:col>
      <xdr:colOff>20634</xdr:colOff>
      <xdr:row>14</xdr:row>
      <xdr:rowOff>20955</xdr:rowOff>
    </xdr:to>
    <xdr:pic macro="[0]!Denne_projektmappe.Printer">
      <xdr:nvPicPr>
        <xdr:cNvPr id="3" name="Billede 2">
          <a:extLst>
            <a:ext uri="{FF2B5EF4-FFF2-40B4-BE49-F238E27FC236}">
              <a16:creationId xmlns:a16="http://schemas.microsoft.com/office/drawing/2014/main" id="{C73C8689-51FE-4005-BAF0-E2AE3EA55F24}"/>
            </a:ext>
          </a:extLst>
        </xdr:cNvPr>
        <xdr:cNvPicPr>
          <a:picLocks noChangeAspect="1"/>
        </xdr:cNvPicPr>
      </xdr:nvPicPr>
      <xdr:blipFill>
        <a:blip xmlns:r="http://schemas.openxmlformats.org/officeDocument/2006/relationships" r:embed="rId3">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8743642" y="2600618"/>
          <a:ext cx="268592" cy="218782"/>
        </a:xfrm>
        <a:prstGeom prst="rect">
          <a:avLst/>
        </a:prstGeom>
      </xdr:spPr>
    </xdr:pic>
    <xdr:clientData fPrintsWithSheet="0"/>
  </xdr:twoCellAnchor>
  <xdr:twoCellAnchor editAs="oneCell">
    <xdr:from>
      <xdr:col>9</xdr:col>
      <xdr:colOff>638174</xdr:colOff>
      <xdr:row>1</xdr:row>
      <xdr:rowOff>66676</xdr:rowOff>
    </xdr:from>
    <xdr:to>
      <xdr:col>10</xdr:col>
      <xdr:colOff>36651</xdr:colOff>
      <xdr:row>2</xdr:row>
      <xdr:rowOff>174903</xdr:rowOff>
    </xdr:to>
    <xdr:pic>
      <xdr:nvPicPr>
        <xdr:cNvPr id="4" name="Billede 3" descr="Flag of Italy - Waving">
          <a:extLst>
            <a:ext uri="{FF2B5EF4-FFF2-40B4-BE49-F238E27FC236}">
              <a16:creationId xmlns:a16="http://schemas.microsoft.com/office/drawing/2014/main" id="{B47370D8-B4BC-4960-9ED1-4C04815BDD9D}"/>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5848349" y="257176"/>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440056</xdr:colOff>
      <xdr:row>4</xdr:row>
      <xdr:rowOff>129541</xdr:rowOff>
    </xdr:from>
    <xdr:to>
      <xdr:col>12</xdr:col>
      <xdr:colOff>1735456</xdr:colOff>
      <xdr:row>10</xdr:row>
      <xdr:rowOff>186691</xdr:rowOff>
    </xdr:to>
    <xdr:pic>
      <xdr:nvPicPr>
        <xdr:cNvPr id="8" name="Billede 7">
          <a:extLst>
            <a:ext uri="{FF2B5EF4-FFF2-40B4-BE49-F238E27FC236}">
              <a16:creationId xmlns:a16="http://schemas.microsoft.com/office/drawing/2014/main" id="{4B501B79-706D-4B90-9461-356CFD5C907D}"/>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7640956" y="891541"/>
          <a:ext cx="1304925" cy="13049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363084</xdr:colOff>
      <xdr:row>3</xdr:row>
      <xdr:rowOff>173575</xdr:rowOff>
    </xdr:to>
    <xdr:pic>
      <xdr:nvPicPr>
        <xdr:cNvPr id="3" name="Billede 2">
          <a:hlinkClick xmlns:r="http://schemas.openxmlformats.org/officeDocument/2006/relationships" r:id="rId1"/>
          <a:extLst>
            <a:ext uri="{FF2B5EF4-FFF2-40B4-BE49-F238E27FC236}">
              <a16:creationId xmlns:a16="http://schemas.microsoft.com/office/drawing/2014/main" id="{2C60C874-FC33-4CB2-9150-0405C62CFE5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13</xdr:col>
      <xdr:colOff>521970</xdr:colOff>
      <xdr:row>12</xdr:row>
      <xdr:rowOff>144780</xdr:rowOff>
    </xdr:from>
    <xdr:to>
      <xdr:col>14</xdr:col>
      <xdr:colOff>78076</xdr:colOff>
      <xdr:row>13</xdr:row>
      <xdr:rowOff>133321</xdr:rowOff>
    </xdr:to>
    <xdr:pic macro="[0]!Denne_projektmappe.Printer">
      <xdr:nvPicPr>
        <xdr:cNvPr id="4" name="Billede 3">
          <a:extLst>
            <a:ext uri="{FF2B5EF4-FFF2-40B4-BE49-F238E27FC236}">
              <a16:creationId xmlns:a16="http://schemas.microsoft.com/office/drawing/2014/main" id="{105D4661-6287-4BEF-AD11-83C209EA7875}"/>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981950" y="2537460"/>
          <a:ext cx="234286" cy="226666"/>
        </a:xfrm>
        <a:prstGeom prst="rect">
          <a:avLst/>
        </a:prstGeom>
      </xdr:spPr>
    </xdr:pic>
    <xdr:clientData fPrintsWithSheet="0"/>
  </xdr:twoCellAnchor>
  <xdr:twoCellAnchor editAs="oneCell">
    <xdr:from>
      <xdr:col>10</xdr:col>
      <xdr:colOff>180976</xdr:colOff>
      <xdr:row>1</xdr:row>
      <xdr:rowOff>57150</xdr:rowOff>
    </xdr:from>
    <xdr:to>
      <xdr:col>11</xdr:col>
      <xdr:colOff>74753</xdr:colOff>
      <xdr:row>2</xdr:row>
      <xdr:rowOff>174902</xdr:rowOff>
    </xdr:to>
    <xdr:pic>
      <xdr:nvPicPr>
        <xdr:cNvPr id="2" name="Billede 1" descr="Flag of Italy - Waving">
          <a:extLst>
            <a:ext uri="{FF2B5EF4-FFF2-40B4-BE49-F238E27FC236}">
              <a16:creationId xmlns:a16="http://schemas.microsoft.com/office/drawing/2014/main" id="{7005F71B-5F69-410C-81D3-ACEBA31D25B7}"/>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5381626" y="247650"/>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723900</xdr:colOff>
      <xdr:row>5</xdr:row>
      <xdr:rowOff>38100</xdr:rowOff>
    </xdr:from>
    <xdr:to>
      <xdr:col>14</xdr:col>
      <xdr:colOff>167640</xdr:colOff>
      <xdr:row>10</xdr:row>
      <xdr:rowOff>190500</xdr:rowOff>
    </xdr:to>
    <xdr:pic>
      <xdr:nvPicPr>
        <xdr:cNvPr id="5" name="Billede 4">
          <a:extLst>
            <a:ext uri="{FF2B5EF4-FFF2-40B4-BE49-F238E27FC236}">
              <a16:creationId xmlns:a16="http://schemas.microsoft.com/office/drawing/2014/main" id="{4B129EC5-3757-4898-88CA-6A6CDBA67E31}"/>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6896100" y="1009650"/>
          <a:ext cx="1190625" cy="11906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363084</xdr:colOff>
      <xdr:row>3</xdr:row>
      <xdr:rowOff>173575</xdr:rowOff>
    </xdr:to>
    <xdr:pic>
      <xdr:nvPicPr>
        <xdr:cNvPr id="3" name="Billede 2">
          <a:hlinkClick xmlns:r="http://schemas.openxmlformats.org/officeDocument/2006/relationships" r:id="rId1"/>
          <a:extLst>
            <a:ext uri="{FF2B5EF4-FFF2-40B4-BE49-F238E27FC236}">
              <a16:creationId xmlns:a16="http://schemas.microsoft.com/office/drawing/2014/main" id="{7071477D-B056-4DB7-9BA1-64E142C1C7B6}"/>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13</xdr:col>
      <xdr:colOff>295275</xdr:colOff>
      <xdr:row>14</xdr:row>
      <xdr:rowOff>139065</xdr:rowOff>
    </xdr:from>
    <xdr:to>
      <xdr:col>14</xdr:col>
      <xdr:colOff>99032</xdr:colOff>
      <xdr:row>15</xdr:row>
      <xdr:rowOff>188566</xdr:rowOff>
    </xdr:to>
    <xdr:pic macro="[0]!Denne_projektmappe.Printer">
      <xdr:nvPicPr>
        <xdr:cNvPr id="4" name="Billede 3">
          <a:extLst>
            <a:ext uri="{FF2B5EF4-FFF2-40B4-BE49-F238E27FC236}">
              <a16:creationId xmlns:a16="http://schemas.microsoft.com/office/drawing/2014/main" id="{2BAF8755-8A11-488F-8E3D-8A88F49E11C9}"/>
            </a:ext>
          </a:extLst>
        </xdr:cNvPr>
        <xdr:cNvPicPr>
          <a:picLocks noChangeAspect="1"/>
        </xdr:cNvPicPr>
      </xdr:nvPicPr>
      <xdr:blipFill>
        <a:blip xmlns:r="http://schemas.openxmlformats.org/officeDocument/2006/relationships" r:embed="rId3">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800975" y="2966085"/>
          <a:ext cx="230477" cy="240001"/>
        </a:xfrm>
        <a:prstGeom prst="rect">
          <a:avLst/>
        </a:prstGeom>
      </xdr:spPr>
    </xdr:pic>
    <xdr:clientData fPrintsWithSheet="0"/>
  </xdr:twoCellAnchor>
  <xdr:twoCellAnchor editAs="oneCell">
    <xdr:from>
      <xdr:col>12</xdr:col>
      <xdr:colOff>38099</xdr:colOff>
      <xdr:row>1</xdr:row>
      <xdr:rowOff>85726</xdr:rowOff>
    </xdr:from>
    <xdr:to>
      <xdr:col>13</xdr:col>
      <xdr:colOff>173811</xdr:colOff>
      <xdr:row>3</xdr:row>
      <xdr:rowOff>16788</xdr:rowOff>
    </xdr:to>
    <xdr:pic>
      <xdr:nvPicPr>
        <xdr:cNvPr id="2" name="Billede 1" descr="Flag of Italy - Waving">
          <a:extLst>
            <a:ext uri="{FF2B5EF4-FFF2-40B4-BE49-F238E27FC236}">
              <a16:creationId xmlns:a16="http://schemas.microsoft.com/office/drawing/2014/main" id="{B2BB42DC-27AC-4F0C-8AC2-4AC0F6320EBC}"/>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7019924" y="276226"/>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590550</xdr:colOff>
      <xdr:row>6</xdr:row>
      <xdr:rowOff>0</xdr:rowOff>
    </xdr:from>
    <xdr:to>
      <xdr:col>9</xdr:col>
      <xdr:colOff>590550</xdr:colOff>
      <xdr:row>12</xdr:row>
      <xdr:rowOff>19050</xdr:rowOff>
    </xdr:to>
    <xdr:cxnSp macro="">
      <xdr:nvCxnSpPr>
        <xdr:cNvPr id="6" name="Lige forbindelse 5">
          <a:extLst>
            <a:ext uri="{FF2B5EF4-FFF2-40B4-BE49-F238E27FC236}">
              <a16:creationId xmlns:a16="http://schemas.microsoft.com/office/drawing/2014/main" id="{E58CC599-877F-67E4-75D5-6C1531BFBA27}"/>
            </a:ext>
          </a:extLst>
        </xdr:cNvPr>
        <xdr:cNvCxnSpPr/>
      </xdr:nvCxnSpPr>
      <xdr:spPr>
        <a:xfrm>
          <a:off x="4895850" y="1304925"/>
          <a:ext cx="0" cy="133350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200026</xdr:colOff>
      <xdr:row>46</xdr:row>
      <xdr:rowOff>95250</xdr:rowOff>
    </xdr:from>
    <xdr:to>
      <xdr:col>19</xdr:col>
      <xdr:colOff>342901</xdr:colOff>
      <xdr:row>53</xdr:row>
      <xdr:rowOff>133350</xdr:rowOff>
    </xdr:to>
    <xdr:pic>
      <xdr:nvPicPr>
        <xdr:cNvPr id="5" name="Billede 4">
          <a:extLst>
            <a:ext uri="{FF2B5EF4-FFF2-40B4-BE49-F238E27FC236}">
              <a16:creationId xmlns:a16="http://schemas.microsoft.com/office/drawing/2014/main" id="{B3EC519D-AFB8-4F24-9646-ED13DA65F90F}"/>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9001126" y="9544050"/>
          <a:ext cx="1466850" cy="14668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36523</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22583E31-C73D-4E0B-B625-D4B9117B476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12</xdr:col>
      <xdr:colOff>1658963</xdr:colOff>
      <xdr:row>12</xdr:row>
      <xdr:rowOff>143168</xdr:rowOff>
    </xdr:from>
    <xdr:to>
      <xdr:col>13</xdr:col>
      <xdr:colOff>60639</xdr:colOff>
      <xdr:row>13</xdr:row>
      <xdr:rowOff>169809</xdr:rowOff>
    </xdr:to>
    <xdr:pic macro="[0]!Denne_projektmappe.Printer">
      <xdr:nvPicPr>
        <xdr:cNvPr id="3" name="Billede 2">
          <a:extLst>
            <a:ext uri="{FF2B5EF4-FFF2-40B4-BE49-F238E27FC236}">
              <a16:creationId xmlns:a16="http://schemas.microsoft.com/office/drawing/2014/main" id="{0A654B8F-0F12-4975-8B0B-6F384137BB39}"/>
            </a:ext>
          </a:extLst>
        </xdr:cNvPr>
        <xdr:cNvPicPr>
          <a:picLocks noChangeAspect="1"/>
        </xdr:cNvPicPr>
      </xdr:nvPicPr>
      <xdr:blipFill>
        <a:blip xmlns:r="http://schemas.openxmlformats.org/officeDocument/2006/relationships" r:embed="rId3" cstate="email">
          <a:duotone>
            <a:schemeClr val="accent3">
              <a:shade val="45000"/>
              <a:satMod val="135000"/>
            </a:schemeClr>
            <a:prstClr val="white"/>
          </a:duotone>
          <a:extLst>
            <a:ext uri="{BEBA8EAE-BF5A-486C-A8C5-ECC9F3942E4B}">
              <a14:imgProps xmlns:a14="http://schemas.microsoft.com/office/drawing/2010/main">
                <a14:imgLayer r:embed="rId4">
                  <a14:imgEffect>
                    <a14:artisticGlowEdges/>
                  </a14:imgEffect>
                  <a14:imgEffect>
                    <a14:brightnessContrast bright="-40000"/>
                  </a14:imgEffect>
                </a14:imgLayer>
              </a14:imgProps>
            </a:ext>
            <a:ext uri="{28A0092B-C50C-407E-A947-70E740481C1C}">
              <a14:useLocalDpi xmlns:a14="http://schemas.microsoft.com/office/drawing/2010/main"/>
            </a:ext>
          </a:extLst>
        </a:blip>
        <a:stretch>
          <a:fillRect/>
        </a:stretch>
      </xdr:blipFill>
      <xdr:spPr>
        <a:xfrm>
          <a:off x="8897963" y="2512988"/>
          <a:ext cx="219046" cy="234286"/>
        </a:xfrm>
        <a:prstGeom prst="rect">
          <a:avLst/>
        </a:prstGeom>
      </xdr:spPr>
    </xdr:pic>
    <xdr:clientData fPrintsWithSheet="0"/>
  </xdr:twoCellAnchor>
  <xdr:twoCellAnchor editAs="oneCell">
    <xdr:from>
      <xdr:col>7</xdr:col>
      <xdr:colOff>370916</xdr:colOff>
      <xdr:row>1</xdr:row>
      <xdr:rowOff>57151</xdr:rowOff>
    </xdr:from>
    <xdr:to>
      <xdr:col>8</xdr:col>
      <xdr:colOff>455193</xdr:colOff>
      <xdr:row>2</xdr:row>
      <xdr:rowOff>171093</xdr:rowOff>
    </xdr:to>
    <xdr:pic>
      <xdr:nvPicPr>
        <xdr:cNvPr id="6" name="Billede 5" descr="Flag of Italy - Waving">
          <a:extLst>
            <a:ext uri="{FF2B5EF4-FFF2-40B4-BE49-F238E27FC236}">
              <a16:creationId xmlns:a16="http://schemas.microsoft.com/office/drawing/2014/main" id="{5BE89AF1-A3A2-48D1-BC09-945B0E4958CF}"/>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4933391" y="247651"/>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81243</xdr:colOff>
      <xdr:row>63</xdr:row>
      <xdr:rowOff>105025</xdr:rowOff>
    </xdr:from>
    <xdr:to>
      <xdr:col>4</xdr:col>
      <xdr:colOff>38101</xdr:colOff>
      <xdr:row>80</xdr:row>
      <xdr:rowOff>19967</xdr:rowOff>
    </xdr:to>
    <xdr:pic>
      <xdr:nvPicPr>
        <xdr:cNvPr id="9" name="Billede 8">
          <a:extLst>
            <a:ext uri="{FF2B5EF4-FFF2-40B4-BE49-F238E27FC236}">
              <a16:creationId xmlns:a16="http://schemas.microsoft.com/office/drawing/2014/main" id="{C8F90A0C-BD37-4B6B-9CEA-2CA30BEF1C8D}"/>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62243" y="11439775"/>
          <a:ext cx="1957108" cy="2522887"/>
        </a:xfrm>
        <a:prstGeom prst="rect">
          <a:avLst/>
        </a:prstGeom>
        <a:ln w="25400">
          <a:solidFill>
            <a:schemeClr val="bg1"/>
          </a:solidFill>
        </a:ln>
      </xdr:spPr>
    </xdr:pic>
    <xdr:clientData/>
  </xdr:twoCellAnchor>
  <xdr:twoCellAnchor editAs="oneCell">
    <xdr:from>
      <xdr:col>5</xdr:col>
      <xdr:colOff>283504</xdr:colOff>
      <xdr:row>63</xdr:row>
      <xdr:rowOff>123825</xdr:rowOff>
    </xdr:from>
    <xdr:to>
      <xdr:col>9</xdr:col>
      <xdr:colOff>434340</xdr:colOff>
      <xdr:row>80</xdr:row>
      <xdr:rowOff>55382</xdr:rowOff>
    </xdr:to>
    <xdr:pic>
      <xdr:nvPicPr>
        <xdr:cNvPr id="7" name="Billede 6" descr="Kan være et billede af mad og indendørs">
          <a:extLst>
            <a:ext uri="{FF2B5EF4-FFF2-40B4-BE49-F238E27FC236}">
              <a16:creationId xmlns:a16="http://schemas.microsoft.com/office/drawing/2014/main" id="{45C9A78C-C6E7-6E41-558F-746F66EF3E17}"/>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3579154" y="10172700"/>
          <a:ext cx="1916771" cy="2550932"/>
        </a:xfrm>
        <a:prstGeom prst="rect">
          <a:avLst/>
        </a:prstGeom>
        <a:noFill/>
        <a:ln w="25400">
          <a:solidFill>
            <a:schemeClr val="bg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150873</xdr:colOff>
      <xdr:row>63</xdr:row>
      <xdr:rowOff>114300</xdr:rowOff>
    </xdr:from>
    <xdr:to>
      <xdr:col>12</xdr:col>
      <xdr:colOff>1616460</xdr:colOff>
      <xdr:row>80</xdr:row>
      <xdr:rowOff>72400</xdr:rowOff>
    </xdr:to>
    <xdr:pic>
      <xdr:nvPicPr>
        <xdr:cNvPr id="8" name="Billede 7" descr="Kan være et billede af pizza">
          <a:extLst>
            <a:ext uri="{FF2B5EF4-FFF2-40B4-BE49-F238E27FC236}">
              <a16:creationId xmlns:a16="http://schemas.microsoft.com/office/drawing/2014/main" id="{7D778F78-ADB2-0D02-41EE-B2BD3C19CC53}"/>
            </a:ext>
          </a:extLst>
        </xdr:cNvPr>
        <xdr:cNvPicPr>
          <a:picLocks noChangeAspect="1" noChangeArrowheads="1"/>
        </xdr:cNvPicPr>
      </xdr:nvPicPr>
      <xdr:blipFill>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bwMode="auto">
        <a:xfrm>
          <a:off x="6532623" y="10163175"/>
          <a:ext cx="1911357" cy="2577475"/>
        </a:xfrm>
        <a:prstGeom prst="rect">
          <a:avLst/>
        </a:prstGeom>
        <a:noFill/>
        <a:ln w="25400">
          <a:solidFill>
            <a:schemeClr val="bg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377191</xdr:colOff>
      <xdr:row>4</xdr:row>
      <xdr:rowOff>158115</xdr:rowOff>
    </xdr:from>
    <xdr:to>
      <xdr:col>12</xdr:col>
      <xdr:colOff>1691641</xdr:colOff>
      <xdr:row>11</xdr:row>
      <xdr:rowOff>57150</xdr:rowOff>
    </xdr:to>
    <xdr:pic>
      <xdr:nvPicPr>
        <xdr:cNvPr id="4" name="Billede 3">
          <a:extLst>
            <a:ext uri="{FF2B5EF4-FFF2-40B4-BE49-F238E27FC236}">
              <a16:creationId xmlns:a16="http://schemas.microsoft.com/office/drawing/2014/main" id="{5EA00C0E-FD2E-47CB-8BEA-D702BEFCB67D}"/>
            </a:ext>
          </a:extLst>
        </xdr:cNvPr>
        <xdr:cNvPicPr>
          <a:picLocks noChangeAspect="1"/>
        </xdr:cNvPicPr>
      </xdr:nvPicPr>
      <xdr:blipFill>
        <a:blip xmlns:r="http://schemas.openxmlformats.org/officeDocument/2006/relationships" r:embed="rId9"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7606666" y="920115"/>
          <a:ext cx="1318260" cy="130492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36523</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4BE6B6EA-3869-450D-A95A-C397E5D913AD}"/>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12</xdr:col>
      <xdr:colOff>1700873</xdr:colOff>
      <xdr:row>12</xdr:row>
      <xdr:rowOff>192698</xdr:rowOff>
    </xdr:from>
    <xdr:to>
      <xdr:col>13</xdr:col>
      <xdr:colOff>58734</xdr:colOff>
      <xdr:row>14</xdr:row>
      <xdr:rowOff>19314</xdr:rowOff>
    </xdr:to>
    <xdr:pic macro="[0]!Denne_projektmappe.Printer">
      <xdr:nvPicPr>
        <xdr:cNvPr id="3" name="Billede 2">
          <a:extLst>
            <a:ext uri="{FF2B5EF4-FFF2-40B4-BE49-F238E27FC236}">
              <a16:creationId xmlns:a16="http://schemas.microsoft.com/office/drawing/2014/main" id="{E07E63C5-B073-4406-8539-B2DB7DB9AB3A}"/>
            </a:ext>
          </a:extLst>
        </xdr:cNvPr>
        <xdr:cNvPicPr>
          <a:picLocks noChangeAspect="1"/>
        </xdr:cNvPicPr>
      </xdr:nvPicPr>
      <xdr:blipFill>
        <a:blip xmlns:r="http://schemas.openxmlformats.org/officeDocument/2006/relationships" r:embed="rId3" cstate="email">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9061793" y="2600618"/>
          <a:ext cx="240001" cy="226666"/>
        </a:xfrm>
        <a:prstGeom prst="rect">
          <a:avLst/>
        </a:prstGeom>
      </xdr:spPr>
    </xdr:pic>
    <xdr:clientData/>
  </xdr:twoCellAnchor>
  <xdr:twoCellAnchor editAs="oneCell">
    <xdr:from>
      <xdr:col>8</xdr:col>
      <xdr:colOff>361390</xdr:colOff>
      <xdr:row>1</xdr:row>
      <xdr:rowOff>47625</xdr:rowOff>
    </xdr:from>
    <xdr:to>
      <xdr:col>9</xdr:col>
      <xdr:colOff>340892</xdr:colOff>
      <xdr:row>2</xdr:row>
      <xdr:rowOff>172997</xdr:rowOff>
    </xdr:to>
    <xdr:pic>
      <xdr:nvPicPr>
        <xdr:cNvPr id="6" name="Billede 5" descr="Flag of Italy - Waving">
          <a:extLst>
            <a:ext uri="{FF2B5EF4-FFF2-40B4-BE49-F238E27FC236}">
              <a16:creationId xmlns:a16="http://schemas.microsoft.com/office/drawing/2014/main" id="{F0E07043-BCD6-4B94-9F4E-5D1573CBD4B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4923865" y="238125"/>
          <a:ext cx="455752" cy="304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54044</xdr:colOff>
      <xdr:row>58</xdr:row>
      <xdr:rowOff>152325</xdr:rowOff>
    </xdr:from>
    <xdr:to>
      <xdr:col>4</xdr:col>
      <xdr:colOff>360048</xdr:colOff>
      <xdr:row>69</xdr:row>
      <xdr:rowOff>95125</xdr:rowOff>
    </xdr:to>
    <xdr:pic>
      <xdr:nvPicPr>
        <xdr:cNvPr id="7" name="Billede 6">
          <a:extLst>
            <a:ext uri="{FF2B5EF4-FFF2-40B4-BE49-F238E27FC236}">
              <a16:creationId xmlns:a16="http://schemas.microsoft.com/office/drawing/2014/main" id="{DE1FF4F5-E1A1-4CB7-A67B-BFC98F39E2EB}"/>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xdr:blipFill>
      <xdr:spPr>
        <a:xfrm rot="16200000">
          <a:off x="555686" y="12052233"/>
          <a:ext cx="2038300" cy="2717734"/>
        </a:xfrm>
        <a:prstGeom prst="rect">
          <a:avLst/>
        </a:prstGeom>
        <a:ln w="25400">
          <a:solidFill>
            <a:schemeClr val="bg1"/>
          </a:solidFill>
        </a:ln>
      </xdr:spPr>
    </xdr:pic>
    <xdr:clientData/>
  </xdr:twoCellAnchor>
  <xdr:twoCellAnchor editAs="oneCell">
    <xdr:from>
      <xdr:col>10</xdr:col>
      <xdr:colOff>42663</xdr:colOff>
      <xdr:row>58</xdr:row>
      <xdr:rowOff>167489</xdr:rowOff>
    </xdr:from>
    <xdr:to>
      <xdr:col>13</xdr:col>
      <xdr:colOff>36155</xdr:colOff>
      <xdr:row>69</xdr:row>
      <xdr:rowOff>93345</xdr:rowOff>
    </xdr:to>
    <xdr:pic>
      <xdr:nvPicPr>
        <xdr:cNvPr id="8" name="Billede 7">
          <a:extLst>
            <a:ext uri="{FF2B5EF4-FFF2-40B4-BE49-F238E27FC236}">
              <a16:creationId xmlns:a16="http://schemas.microsoft.com/office/drawing/2014/main" id="{71E6FC65-1A8E-4A0A-A54C-FC13285E6C97}"/>
            </a:ext>
          </a:extLst>
        </xdr:cNvPr>
        <xdr:cNvPicPr>
          <a:picLocks noChangeAspect="1" noChangeArrowheads="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l="-606"/>
        <a:stretch/>
      </xdr:blipFill>
      <xdr:spPr bwMode="auto">
        <a:xfrm>
          <a:off x="6100563" y="12407114"/>
          <a:ext cx="2660492" cy="2032786"/>
        </a:xfrm>
        <a:prstGeom prst="rect">
          <a:avLst/>
        </a:prstGeom>
        <a:noFill/>
        <a:ln w="25400">
          <a:solidFill>
            <a:schemeClr val="bg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771524</xdr:colOff>
      <xdr:row>58</xdr:row>
      <xdr:rowOff>159176</xdr:rowOff>
    </xdr:from>
    <xdr:to>
      <xdr:col>9</xdr:col>
      <xdr:colOff>820414</xdr:colOff>
      <xdr:row>69</xdr:row>
      <xdr:rowOff>116310</xdr:rowOff>
    </xdr:to>
    <xdr:pic>
      <xdr:nvPicPr>
        <xdr:cNvPr id="9" name="Billede 8">
          <a:extLst>
            <a:ext uri="{FF2B5EF4-FFF2-40B4-BE49-F238E27FC236}">
              <a16:creationId xmlns:a16="http://schemas.microsoft.com/office/drawing/2014/main" id="{D485E86E-9720-4462-88BD-5DAB2BAD567F}"/>
            </a:ext>
          </a:extLst>
        </xdr:cNvPr>
        <xdr:cNvPicPr>
          <a:picLocks noChangeAspect="1" noChangeArrowheads="1"/>
        </xdr:cNvPicPr>
      </xdr:nvPicPr>
      <xdr:blipFill>
        <a:blip xmlns:r="http://schemas.openxmlformats.org/officeDocument/2006/relationships" r:embed="rId8" cstate="email">
          <a:extLst>
            <a:ext uri="{28A0092B-C50C-407E-A947-70E740481C1C}">
              <a14:useLocalDpi xmlns:a14="http://schemas.microsoft.com/office/drawing/2010/main"/>
            </a:ext>
          </a:extLst>
        </a:blip>
        <a:srcRect/>
        <a:stretch/>
      </xdr:blipFill>
      <xdr:spPr bwMode="auto">
        <a:xfrm rot="5400000">
          <a:off x="3494880" y="12056695"/>
          <a:ext cx="2052634" cy="2736845"/>
        </a:xfrm>
        <a:prstGeom prst="rect">
          <a:avLst/>
        </a:prstGeom>
        <a:noFill/>
        <a:ln w="25400">
          <a:solidFill>
            <a:schemeClr val="bg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464820</xdr:colOff>
      <xdr:row>4</xdr:row>
      <xdr:rowOff>201930</xdr:rowOff>
    </xdr:from>
    <xdr:to>
      <xdr:col>12</xdr:col>
      <xdr:colOff>1748790</xdr:colOff>
      <xdr:row>11</xdr:row>
      <xdr:rowOff>15240</xdr:rowOff>
    </xdr:to>
    <xdr:pic>
      <xdr:nvPicPr>
        <xdr:cNvPr id="4" name="Billede 3">
          <a:extLst>
            <a:ext uri="{FF2B5EF4-FFF2-40B4-BE49-F238E27FC236}">
              <a16:creationId xmlns:a16="http://schemas.microsoft.com/office/drawing/2014/main" id="{47A9822F-E5ED-4EE2-AA51-F63EE9AC1CF0}"/>
            </a:ext>
          </a:extLst>
        </xdr:cNvPr>
        <xdr:cNvPicPr>
          <a:picLocks noChangeAspect="1"/>
        </xdr:cNvPicPr>
      </xdr:nvPicPr>
      <xdr:blipFill>
        <a:blip xmlns:r="http://schemas.openxmlformats.org/officeDocument/2006/relationships" r:embed="rId9"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7818120" y="963930"/>
          <a:ext cx="1283970" cy="127063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363084</xdr:colOff>
      <xdr:row>3</xdr:row>
      <xdr:rowOff>173575</xdr:rowOff>
    </xdr:to>
    <xdr:pic>
      <xdr:nvPicPr>
        <xdr:cNvPr id="3" name="Billede 2">
          <a:hlinkClick xmlns:r="http://schemas.openxmlformats.org/officeDocument/2006/relationships" r:id="rId1"/>
          <a:extLst>
            <a:ext uri="{FF2B5EF4-FFF2-40B4-BE49-F238E27FC236}">
              <a16:creationId xmlns:a16="http://schemas.microsoft.com/office/drawing/2014/main" id="{6BEAE4BB-68BA-4E47-BC75-7AD42EBD5C45}"/>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2</xdr:col>
      <xdr:colOff>38100</xdr:colOff>
      <xdr:row>59</xdr:row>
      <xdr:rowOff>47625</xdr:rowOff>
    </xdr:from>
    <xdr:to>
      <xdr:col>6</xdr:col>
      <xdr:colOff>439703</xdr:colOff>
      <xdr:row>68</xdr:row>
      <xdr:rowOff>600</xdr:rowOff>
    </xdr:to>
    <xdr:pic>
      <xdr:nvPicPr>
        <xdr:cNvPr id="6" name="Billede 5">
          <a:extLst>
            <a:ext uri="{FF2B5EF4-FFF2-40B4-BE49-F238E27FC236}">
              <a16:creationId xmlns:a16="http://schemas.microsoft.com/office/drawing/2014/main" id="{B46536A6-AC05-5B9E-06CD-96C4FD595EAE}"/>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752475" y="12611100"/>
          <a:ext cx="3401978" cy="1753200"/>
        </a:xfrm>
        <a:prstGeom prst="rect">
          <a:avLst/>
        </a:prstGeom>
        <a:ln w="25400">
          <a:solidFill>
            <a:schemeClr val="bg1"/>
          </a:solidFill>
        </a:ln>
      </xdr:spPr>
    </xdr:pic>
    <xdr:clientData/>
  </xdr:twoCellAnchor>
  <xdr:twoCellAnchor editAs="absolute">
    <xdr:from>
      <xdr:col>10</xdr:col>
      <xdr:colOff>231315</xdr:colOff>
      <xdr:row>1</xdr:row>
      <xdr:rowOff>54021</xdr:rowOff>
    </xdr:from>
    <xdr:to>
      <xdr:col>11</xdr:col>
      <xdr:colOff>326339</xdr:colOff>
      <xdr:row>2</xdr:row>
      <xdr:rowOff>136281</xdr:rowOff>
    </xdr:to>
    <xdr:pic>
      <xdr:nvPicPr>
        <xdr:cNvPr id="2" name="Billede 1" descr="United states, us, usa, waving, american flag, north america icon - Download on Iconfinder">
          <a:extLst>
            <a:ext uri="{FF2B5EF4-FFF2-40B4-BE49-F238E27FC236}">
              <a16:creationId xmlns:a16="http://schemas.microsoft.com/office/drawing/2014/main" id="{9689D339-3C4F-46D1-BEC3-688C1D4A7151}"/>
            </a:ext>
          </a:extLst>
        </xdr:cNvPr>
        <xdr:cNvPicPr>
          <a:picLocks noChangeAspect="1" noChangeArrowheads="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bwMode="auto">
        <a:xfrm rot="20517199">
          <a:off x="6336840" y="233091"/>
          <a:ext cx="376964"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628651</xdr:colOff>
      <xdr:row>59</xdr:row>
      <xdr:rowOff>47625</xdr:rowOff>
    </xdr:from>
    <xdr:to>
      <xdr:col>12</xdr:col>
      <xdr:colOff>594188</xdr:colOff>
      <xdr:row>68</xdr:row>
      <xdr:rowOff>0</xdr:rowOff>
    </xdr:to>
    <xdr:pic>
      <xdr:nvPicPr>
        <xdr:cNvPr id="8" name="Billede 7">
          <a:extLst>
            <a:ext uri="{FF2B5EF4-FFF2-40B4-BE49-F238E27FC236}">
              <a16:creationId xmlns:a16="http://schemas.microsoft.com/office/drawing/2014/main" id="{8365164E-F452-A9C5-5F8F-FCF74F7C1B04}"/>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029201" y="12611100"/>
          <a:ext cx="2462992" cy="1752600"/>
        </a:xfrm>
        <a:prstGeom prst="rect">
          <a:avLst/>
        </a:prstGeom>
        <a:ln w="25400">
          <a:solidFill>
            <a:schemeClr val="bg1"/>
          </a:solidFill>
        </a:ln>
      </xdr:spPr>
    </xdr:pic>
    <xdr:clientData/>
  </xdr:twoCellAnchor>
  <xdr:oneCellAnchor>
    <xdr:from>
      <xdr:col>9</xdr:col>
      <xdr:colOff>190500</xdr:colOff>
      <xdr:row>16</xdr:row>
      <xdr:rowOff>142875</xdr:rowOff>
    </xdr:from>
    <xdr:ext cx="65" cy="172227"/>
    <xdr:sp macro="" textlink="">
      <xdr:nvSpPr>
        <xdr:cNvPr id="9" name="Tekstfelt 8">
          <a:extLst>
            <a:ext uri="{FF2B5EF4-FFF2-40B4-BE49-F238E27FC236}">
              <a16:creationId xmlns:a16="http://schemas.microsoft.com/office/drawing/2014/main" id="{B0924E39-3EDB-EED8-94C8-0FB9CD510971}"/>
            </a:ext>
          </a:extLst>
        </xdr:cNvPr>
        <xdr:cNvSpPr txBox="1"/>
      </xdr:nvSpPr>
      <xdr:spPr>
        <a:xfrm>
          <a:off x="5105400" y="32670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da-DK" sz="1100"/>
        </a:p>
      </xdr:txBody>
    </xdr:sp>
    <xdr:clientData/>
  </xdr:oneCellAnchor>
  <xdr:twoCellAnchor editAs="oneCell">
    <xdr:from>
      <xdr:col>12</xdr:col>
      <xdr:colOff>276225</xdr:colOff>
      <xdr:row>5</xdr:row>
      <xdr:rowOff>1905</xdr:rowOff>
    </xdr:from>
    <xdr:to>
      <xdr:col>13</xdr:col>
      <xdr:colOff>155591</xdr:colOff>
      <xdr:row>11</xdr:row>
      <xdr:rowOff>0</xdr:rowOff>
    </xdr:to>
    <xdr:pic>
      <xdr:nvPicPr>
        <xdr:cNvPr id="5" name="Billede 4">
          <a:extLst>
            <a:ext uri="{FF2B5EF4-FFF2-40B4-BE49-F238E27FC236}">
              <a16:creationId xmlns:a16="http://schemas.microsoft.com/office/drawing/2014/main" id="{11C35F8D-EA40-4B0B-94BF-1B0624F56885}"/>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7362825" y="973455"/>
          <a:ext cx="1384316" cy="1251585"/>
        </a:xfrm>
        <a:prstGeom prst="rect">
          <a:avLst/>
        </a:prstGeom>
      </xdr:spPr>
    </xdr:pic>
    <xdr:clientData/>
  </xdr:twoCellAnchor>
  <xdr:twoCellAnchor editAs="absolute">
    <xdr:from>
      <xdr:col>12</xdr:col>
      <xdr:colOff>1276350</xdr:colOff>
      <xdr:row>17</xdr:row>
      <xdr:rowOff>173355</xdr:rowOff>
    </xdr:from>
    <xdr:to>
      <xdr:col>13</xdr:col>
      <xdr:colOff>19021</xdr:colOff>
      <xdr:row>18</xdr:row>
      <xdr:rowOff>133321</xdr:rowOff>
    </xdr:to>
    <xdr:pic>
      <xdr:nvPicPr>
        <xdr:cNvPr id="7" name="Billede 6">
          <a:extLst>
            <a:ext uri="{FF2B5EF4-FFF2-40B4-BE49-F238E27FC236}">
              <a16:creationId xmlns:a16="http://schemas.microsoft.com/office/drawing/2014/main" id="{2D8D4D84-0D6B-4016-924B-06DA17187926}"/>
            </a:ext>
          </a:extLst>
        </xdr:cNvPr>
        <xdr:cNvPicPr>
          <a:picLocks noChangeAspect="1"/>
        </xdr:cNvPicPr>
      </xdr:nvPicPr>
      <xdr:blipFill>
        <a:blip xmlns:r="http://schemas.openxmlformats.org/officeDocument/2006/relationships" r:embed="rId7">
          <a:duotone>
            <a:prstClr val="black"/>
            <a:schemeClr val="tx2">
              <a:tint val="45000"/>
              <a:satMod val="400000"/>
            </a:schemeClr>
          </a:duotone>
          <a:extLst>
            <a:ext uri="{BEBA8EAE-BF5A-486C-A8C5-ECC9F3942E4B}">
              <a14:imgProps xmlns:a14="http://schemas.microsoft.com/office/drawing/2010/main">
                <a14:imgLayer r:embed="rId8">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8153400" y="3657600"/>
          <a:ext cx="228571" cy="228571"/>
        </a:xfrm>
        <a:prstGeom prst="rect">
          <a:avLst/>
        </a:prstGeom>
      </xdr:spPr>
    </xdr:pic>
    <xdr:clientData fPrintsWithSheet="0"/>
  </xdr:twoCellAnchor>
  <xdr:twoCellAnchor>
    <xdr:from>
      <xdr:col>9</xdr:col>
      <xdr:colOff>647700</xdr:colOff>
      <xdr:row>49</xdr:row>
      <xdr:rowOff>121104</xdr:rowOff>
    </xdr:from>
    <xdr:to>
      <xdr:col>9</xdr:col>
      <xdr:colOff>974272</xdr:colOff>
      <xdr:row>49</xdr:row>
      <xdr:rowOff>121104</xdr:rowOff>
    </xdr:to>
    <xdr:cxnSp macro="">
      <xdr:nvCxnSpPr>
        <xdr:cNvPr id="10" name="Lige pilforbindelse 9">
          <a:extLst>
            <a:ext uri="{FF2B5EF4-FFF2-40B4-BE49-F238E27FC236}">
              <a16:creationId xmlns:a16="http://schemas.microsoft.com/office/drawing/2014/main" id="{4D750BBB-CA48-CDE4-D116-B9409EB1CBD5}"/>
            </a:ext>
          </a:extLst>
        </xdr:cNvPr>
        <xdr:cNvCxnSpPr/>
      </xdr:nvCxnSpPr>
      <xdr:spPr>
        <a:xfrm>
          <a:off x="5736771" y="10326461"/>
          <a:ext cx="326572" cy="0"/>
        </a:xfrm>
        <a:prstGeom prst="straightConnector1">
          <a:avLst/>
        </a:prstGeom>
        <a:ln>
          <a:solidFill>
            <a:srgbClr val="D8482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363084</xdr:colOff>
      <xdr:row>3</xdr:row>
      <xdr:rowOff>173575</xdr:rowOff>
    </xdr:to>
    <xdr:pic>
      <xdr:nvPicPr>
        <xdr:cNvPr id="2" name="Billede 1">
          <a:hlinkClick xmlns:r="http://schemas.openxmlformats.org/officeDocument/2006/relationships" r:id="rId1"/>
          <a:extLst>
            <a:ext uri="{FF2B5EF4-FFF2-40B4-BE49-F238E27FC236}">
              <a16:creationId xmlns:a16="http://schemas.microsoft.com/office/drawing/2014/main" id="{0C2111E2-F14F-4BD3-A59A-742432655F9E}"/>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13</xdr:col>
      <xdr:colOff>245745</xdr:colOff>
      <xdr:row>14</xdr:row>
      <xdr:rowOff>154305</xdr:rowOff>
    </xdr:from>
    <xdr:to>
      <xdr:col>14</xdr:col>
      <xdr:colOff>55217</xdr:colOff>
      <xdr:row>16</xdr:row>
      <xdr:rowOff>1876</xdr:rowOff>
    </xdr:to>
    <xdr:pic macro="[0]!Denne_projektmappe.Printer">
      <xdr:nvPicPr>
        <xdr:cNvPr id="3" name="Billede 2">
          <a:extLst>
            <a:ext uri="{FF2B5EF4-FFF2-40B4-BE49-F238E27FC236}">
              <a16:creationId xmlns:a16="http://schemas.microsoft.com/office/drawing/2014/main" id="{D0732A9F-DB0E-4DA2-866E-89AF976A4BEC}"/>
            </a:ext>
          </a:extLst>
        </xdr:cNvPr>
        <xdr:cNvPicPr>
          <a:picLocks noChangeAspect="1"/>
        </xdr:cNvPicPr>
      </xdr:nvPicPr>
      <xdr:blipFill>
        <a:blip xmlns:r="http://schemas.openxmlformats.org/officeDocument/2006/relationships" r:embed="rId3">
          <a:duotone>
            <a:prstClr val="black"/>
            <a:schemeClr val="tx2">
              <a:tint val="45000"/>
              <a:satMod val="400000"/>
            </a:schemeClr>
          </a:duotone>
          <a:extLst>
            <a:ext uri="{BEBA8EAE-BF5A-486C-A8C5-ECC9F3942E4B}">
              <a14:imgProps xmlns:a14="http://schemas.microsoft.com/office/drawing/2010/main">
                <a14:imgLayer r:embed="rId4">
                  <a14:imgEffect>
                    <a14:brightnessContrast bright="-40000"/>
                  </a14:imgEffect>
                </a14:imgLayer>
              </a14:imgProps>
            </a:ext>
            <a:ext uri="{28A0092B-C50C-407E-A947-70E740481C1C}">
              <a14:useLocalDpi xmlns:a14="http://schemas.microsoft.com/office/drawing/2010/main"/>
            </a:ext>
          </a:extLst>
        </a:blip>
        <a:stretch>
          <a:fillRect/>
        </a:stretch>
      </xdr:blipFill>
      <xdr:spPr>
        <a:xfrm>
          <a:off x="7722870" y="2964180"/>
          <a:ext cx="232382" cy="238096"/>
        </a:xfrm>
        <a:prstGeom prst="rect">
          <a:avLst/>
        </a:prstGeom>
      </xdr:spPr>
    </xdr:pic>
    <xdr:clientData fPrintsWithSheet="0"/>
  </xdr:twoCellAnchor>
  <xdr:twoCellAnchor editAs="oneCell">
    <xdr:from>
      <xdr:col>13</xdr:col>
      <xdr:colOff>180975</xdr:colOff>
      <xdr:row>1</xdr:row>
      <xdr:rowOff>34289</xdr:rowOff>
    </xdr:from>
    <xdr:to>
      <xdr:col>15</xdr:col>
      <xdr:colOff>457</xdr:colOff>
      <xdr:row>2</xdr:row>
      <xdr:rowOff>155851</xdr:rowOff>
    </xdr:to>
    <xdr:pic>
      <xdr:nvPicPr>
        <xdr:cNvPr id="4" name="Billede 3" descr="Flag of Italy - Waving">
          <a:extLst>
            <a:ext uri="{FF2B5EF4-FFF2-40B4-BE49-F238E27FC236}">
              <a16:creationId xmlns:a16="http://schemas.microsoft.com/office/drawing/2014/main" id="{003CD18B-933A-49BC-9CDF-8292EDF1501A}"/>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rot="20707217">
          <a:off x="7658100" y="224789"/>
          <a:ext cx="448132" cy="3120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590550</xdr:colOff>
      <xdr:row>6</xdr:row>
      <xdr:rowOff>0</xdr:rowOff>
    </xdr:from>
    <xdr:to>
      <xdr:col>9</xdr:col>
      <xdr:colOff>590550</xdr:colOff>
      <xdr:row>12</xdr:row>
      <xdr:rowOff>19050</xdr:rowOff>
    </xdr:to>
    <xdr:cxnSp macro="">
      <xdr:nvCxnSpPr>
        <xdr:cNvPr id="5" name="Lige forbindelse 4">
          <a:extLst>
            <a:ext uri="{FF2B5EF4-FFF2-40B4-BE49-F238E27FC236}">
              <a16:creationId xmlns:a16="http://schemas.microsoft.com/office/drawing/2014/main" id="{763438DB-014F-48A3-9B88-D20D0FC9F0D5}"/>
            </a:ext>
          </a:extLst>
        </xdr:cNvPr>
        <xdr:cNvCxnSpPr/>
      </xdr:nvCxnSpPr>
      <xdr:spPr>
        <a:xfrm>
          <a:off x="4895850" y="1181100"/>
          <a:ext cx="0" cy="1304925"/>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142876</xdr:colOff>
      <xdr:row>23</xdr:row>
      <xdr:rowOff>190500</xdr:rowOff>
    </xdr:from>
    <xdr:to>
      <xdr:col>19</xdr:col>
      <xdr:colOff>281941</xdr:colOff>
      <xdr:row>31</xdr:row>
      <xdr:rowOff>19050</xdr:rowOff>
    </xdr:to>
    <xdr:pic>
      <xdr:nvPicPr>
        <xdr:cNvPr id="6" name="Billede 5">
          <a:extLst>
            <a:ext uri="{FF2B5EF4-FFF2-40B4-BE49-F238E27FC236}">
              <a16:creationId xmlns:a16="http://schemas.microsoft.com/office/drawing/2014/main" id="{A579A6E0-396A-40BD-AF7B-7BCA708E66CF}"/>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8982076" y="4848225"/>
          <a:ext cx="1466850" cy="14668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131773</xdr:colOff>
      <xdr:row>4</xdr:row>
      <xdr:rowOff>0</xdr:rowOff>
    </xdr:to>
    <xdr:pic>
      <xdr:nvPicPr>
        <xdr:cNvPr id="3" name="Billede 2">
          <a:hlinkClick xmlns:r="http://schemas.openxmlformats.org/officeDocument/2006/relationships" r:id="rId1"/>
          <a:extLst>
            <a:ext uri="{FF2B5EF4-FFF2-40B4-BE49-F238E27FC236}">
              <a16:creationId xmlns:a16="http://schemas.microsoft.com/office/drawing/2014/main" id="{5528E358-6A37-4F64-98B8-32830109C7F3}"/>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110818</xdr:colOff>
      <xdr:row>3</xdr:row>
      <xdr:rowOff>167640</xdr:rowOff>
    </xdr:to>
    <xdr:pic>
      <xdr:nvPicPr>
        <xdr:cNvPr id="3" name="Billede 2">
          <a:hlinkClick xmlns:r="http://schemas.openxmlformats.org/officeDocument/2006/relationships" r:id="rId1"/>
          <a:extLst>
            <a:ext uri="{FF2B5EF4-FFF2-40B4-BE49-F238E27FC236}">
              <a16:creationId xmlns:a16="http://schemas.microsoft.com/office/drawing/2014/main" id="{55688074-C447-4B2B-9C1C-E45F3616894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8</xdr:col>
      <xdr:colOff>19050</xdr:colOff>
      <xdr:row>29</xdr:row>
      <xdr:rowOff>19051</xdr:rowOff>
    </xdr:from>
    <xdr:to>
      <xdr:col>10</xdr:col>
      <xdr:colOff>787400</xdr:colOff>
      <xdr:row>37</xdr:row>
      <xdr:rowOff>140182</xdr:rowOff>
    </xdr:to>
    <xdr:pic>
      <xdr:nvPicPr>
        <xdr:cNvPr id="3" name="Billede 2" descr="Glass jar with homemade classic spicy tomato pasta or pizza sauce. ⬇ Stock  Photo, Image by © IMelnyk #218039104">
          <a:extLst>
            <a:ext uri="{FF2B5EF4-FFF2-40B4-BE49-F238E27FC236}">
              <a16:creationId xmlns:a16="http://schemas.microsoft.com/office/drawing/2014/main" id="{DD33FE36-BD79-4216-A6C3-948E474E939D}"/>
            </a:ext>
          </a:extLst>
        </xdr:cNvPr>
        <xdr:cNvPicPr>
          <a:picLocks noChangeAspect="1" noChangeArrowheads="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bwMode="auto">
        <a:xfrm>
          <a:off x="3552825" y="5648326"/>
          <a:ext cx="1987550" cy="16451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29</xdr:row>
      <xdr:rowOff>0</xdr:rowOff>
    </xdr:from>
    <xdr:to>
      <xdr:col>7</xdr:col>
      <xdr:colOff>276226</xdr:colOff>
      <xdr:row>37</xdr:row>
      <xdr:rowOff>149225</xdr:rowOff>
    </xdr:to>
    <xdr:pic>
      <xdr:nvPicPr>
        <xdr:cNvPr id="4" name="Billede 3">
          <a:extLst>
            <a:ext uri="{FF2B5EF4-FFF2-40B4-BE49-F238E27FC236}">
              <a16:creationId xmlns:a16="http://schemas.microsoft.com/office/drawing/2014/main" id="{87AEC527-EB50-46BE-AB15-173A6011340C}"/>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228601" y="5629275"/>
          <a:ext cx="2971800" cy="1673225"/>
        </a:xfrm>
        <a:prstGeom prst="rect">
          <a:avLst/>
        </a:prstGeom>
      </xdr:spPr>
    </xdr:pic>
    <xdr:clientData/>
  </xdr:twoCellAnchor>
  <xdr:twoCellAnchor editAs="oneCell">
    <xdr:from>
      <xdr:col>1</xdr:col>
      <xdr:colOff>104776</xdr:colOff>
      <xdr:row>71</xdr:row>
      <xdr:rowOff>190499</xdr:rowOff>
    </xdr:from>
    <xdr:to>
      <xdr:col>10</xdr:col>
      <xdr:colOff>657225</xdr:colOff>
      <xdr:row>98</xdr:row>
      <xdr:rowOff>121724</xdr:rowOff>
    </xdr:to>
    <xdr:pic>
      <xdr:nvPicPr>
        <xdr:cNvPr id="6" name="Billede 5" descr="Step by step photos for making authentic Italian tomato sauce">
          <a:extLst>
            <a:ext uri="{FF2B5EF4-FFF2-40B4-BE49-F238E27FC236}">
              <a16:creationId xmlns:a16="http://schemas.microsoft.com/office/drawing/2014/main" id="{F296D47B-1AC4-48D3-B749-2AFF20095ED4}"/>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333376" y="14420849"/>
          <a:ext cx="5076824" cy="508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2</xdr:col>
      <xdr:colOff>17473</xdr:colOff>
      <xdr:row>4</xdr:row>
      <xdr:rowOff>0</xdr:rowOff>
    </xdr:to>
    <xdr:pic>
      <xdr:nvPicPr>
        <xdr:cNvPr id="2" name="Billede 1">
          <a:hlinkClick xmlns:r="http://schemas.openxmlformats.org/officeDocument/2006/relationships" r:id="rId4"/>
          <a:extLst>
            <a:ext uri="{FF2B5EF4-FFF2-40B4-BE49-F238E27FC236}">
              <a16:creationId xmlns:a16="http://schemas.microsoft.com/office/drawing/2014/main" id="{6CAB68CE-BCF7-47C5-B552-5D7503D087F3}"/>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10</xdr:col>
      <xdr:colOff>685800</xdr:colOff>
      <xdr:row>2</xdr:row>
      <xdr:rowOff>28575</xdr:rowOff>
    </xdr:from>
    <xdr:to>
      <xdr:col>11</xdr:col>
      <xdr:colOff>104746</xdr:colOff>
      <xdr:row>3</xdr:row>
      <xdr:rowOff>66646</xdr:rowOff>
    </xdr:to>
    <xdr:pic macro="[0]!Denne_projektmappe.Printer">
      <xdr:nvPicPr>
        <xdr:cNvPr id="5" name="Billede 4">
          <a:extLst>
            <a:ext uri="{FF2B5EF4-FFF2-40B4-BE49-F238E27FC236}">
              <a16:creationId xmlns:a16="http://schemas.microsoft.com/office/drawing/2014/main" id="{A39F181C-DA5C-41A5-8E48-AF63DEE0664E}"/>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rightnessContrast bright="20000"/>
                  </a14:imgEffect>
                </a14:imgLayer>
              </a14:imgProps>
            </a:ext>
            <a:ext uri="{28A0092B-C50C-407E-A947-70E740481C1C}">
              <a14:useLocalDpi xmlns:a14="http://schemas.microsoft.com/office/drawing/2010/main"/>
            </a:ext>
          </a:extLst>
        </a:blip>
        <a:stretch>
          <a:fillRect/>
        </a:stretch>
      </xdr:blipFill>
      <xdr:spPr>
        <a:xfrm>
          <a:off x="5438775" y="409575"/>
          <a:ext cx="228571" cy="2285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207973</xdr:colOff>
      <xdr:row>3</xdr:row>
      <xdr:rowOff>190500</xdr:rowOff>
    </xdr:to>
    <xdr:pic>
      <xdr:nvPicPr>
        <xdr:cNvPr id="2" name="Billede 1">
          <a:hlinkClick xmlns:r="http://schemas.openxmlformats.org/officeDocument/2006/relationships" r:id="rId1"/>
          <a:extLst>
            <a:ext uri="{FF2B5EF4-FFF2-40B4-BE49-F238E27FC236}">
              <a16:creationId xmlns:a16="http://schemas.microsoft.com/office/drawing/2014/main" id="{066AD12E-E20B-4969-B1BC-A23A14CF8C8A}"/>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10</xdr:col>
      <xdr:colOff>114300</xdr:colOff>
      <xdr:row>107</xdr:row>
      <xdr:rowOff>137706</xdr:rowOff>
    </xdr:from>
    <xdr:to>
      <xdr:col>12</xdr:col>
      <xdr:colOff>472441</xdr:colOff>
      <xdr:row>116</xdr:row>
      <xdr:rowOff>114545</xdr:rowOff>
    </xdr:to>
    <xdr:pic>
      <xdr:nvPicPr>
        <xdr:cNvPr id="3" name="Billede 2" descr="Flour bag Vectors &amp; Illustrations for Free Download | Freepik">
          <a:extLst>
            <a:ext uri="{FF2B5EF4-FFF2-40B4-BE49-F238E27FC236}">
              <a16:creationId xmlns:a16="http://schemas.microsoft.com/office/drawing/2014/main" id="{32D6CB35-B419-4774-8F80-92C1B310B71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6381750" y="35865981"/>
          <a:ext cx="1838326" cy="19675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342900</xdr:colOff>
      <xdr:row>15</xdr:row>
      <xdr:rowOff>123824</xdr:rowOff>
    </xdr:from>
    <xdr:to>
      <xdr:col>12</xdr:col>
      <xdr:colOff>267657</xdr:colOff>
      <xdr:row>15</xdr:row>
      <xdr:rowOff>2689859</xdr:rowOff>
    </xdr:to>
    <xdr:pic>
      <xdr:nvPicPr>
        <xdr:cNvPr id="4" name="Billede 3">
          <a:extLst>
            <a:ext uri="{FF2B5EF4-FFF2-40B4-BE49-F238E27FC236}">
              <a16:creationId xmlns:a16="http://schemas.microsoft.com/office/drawing/2014/main" id="{796D90DC-F2A8-4616-9FAF-DE862FE690CF}"/>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1152525" y="4295774"/>
          <a:ext cx="6858957" cy="25622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211783</xdr:colOff>
      <xdr:row>3</xdr:row>
      <xdr:rowOff>190500</xdr:rowOff>
    </xdr:to>
    <xdr:pic>
      <xdr:nvPicPr>
        <xdr:cNvPr id="2" name="Billede 1">
          <a:hlinkClick xmlns:r="http://schemas.openxmlformats.org/officeDocument/2006/relationships" r:id="rId1"/>
          <a:extLst>
            <a:ext uri="{FF2B5EF4-FFF2-40B4-BE49-F238E27FC236}">
              <a16:creationId xmlns:a16="http://schemas.microsoft.com/office/drawing/2014/main" id="{4C0A2CF6-D951-403D-9751-D9112CC11FAE}"/>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oneCellAnchor>
    <xdr:from>
      <xdr:col>2</xdr:col>
      <xdr:colOff>0</xdr:colOff>
      <xdr:row>17</xdr:row>
      <xdr:rowOff>200024</xdr:rowOff>
    </xdr:from>
    <xdr:ext cx="2057400" cy="1809751"/>
    <xdr:pic>
      <xdr:nvPicPr>
        <xdr:cNvPr id="6" name="Billede 5">
          <a:extLst>
            <a:ext uri="{FF2B5EF4-FFF2-40B4-BE49-F238E27FC236}">
              <a16:creationId xmlns:a16="http://schemas.microsoft.com/office/drawing/2014/main" id="{F6CED20C-56CF-4A22-88ED-AA6AAB21F2B1}"/>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381000" y="47967899"/>
          <a:ext cx="2057400" cy="1809751"/>
        </a:xfrm>
        <a:prstGeom prst="rect">
          <a:avLst/>
        </a:prstGeom>
      </xdr:spPr>
    </xdr:pic>
    <xdr:clientData/>
  </xdr:oneCellAnchor>
  <xdr:oneCellAnchor>
    <xdr:from>
      <xdr:col>2</xdr:col>
      <xdr:colOff>0</xdr:colOff>
      <xdr:row>42</xdr:row>
      <xdr:rowOff>190499</xdr:rowOff>
    </xdr:from>
    <xdr:ext cx="2099870" cy="1628775"/>
    <xdr:pic>
      <xdr:nvPicPr>
        <xdr:cNvPr id="7" name="Billede 6">
          <a:extLst>
            <a:ext uri="{FF2B5EF4-FFF2-40B4-BE49-F238E27FC236}">
              <a16:creationId xmlns:a16="http://schemas.microsoft.com/office/drawing/2014/main" id="{F3740223-73E4-4BF1-B385-8F94F8352423}"/>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381000" y="52958999"/>
          <a:ext cx="2099870" cy="1628775"/>
        </a:xfrm>
        <a:prstGeom prst="rect">
          <a:avLst/>
        </a:prstGeom>
      </xdr:spPr>
    </xdr:pic>
    <xdr:clientData/>
  </xdr:oneCellAnchor>
  <xdr:oneCellAnchor>
    <xdr:from>
      <xdr:col>2</xdr:col>
      <xdr:colOff>26200</xdr:colOff>
      <xdr:row>31</xdr:row>
      <xdr:rowOff>38100</xdr:rowOff>
    </xdr:from>
    <xdr:ext cx="2015450" cy="1842557"/>
    <xdr:pic>
      <xdr:nvPicPr>
        <xdr:cNvPr id="8" name="Billede 7">
          <a:extLst>
            <a:ext uri="{FF2B5EF4-FFF2-40B4-BE49-F238E27FC236}">
              <a16:creationId xmlns:a16="http://schemas.microsoft.com/office/drawing/2014/main" id="{239DDAC9-8527-4FB8-9A44-201A31A2FC7B}"/>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407200" y="50606325"/>
          <a:ext cx="2015450" cy="1842557"/>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217498</xdr:colOff>
      <xdr:row>3</xdr:row>
      <xdr:rowOff>190500</xdr:rowOff>
    </xdr:to>
    <xdr:pic>
      <xdr:nvPicPr>
        <xdr:cNvPr id="2" name="Billede 1">
          <a:hlinkClick xmlns:r="http://schemas.openxmlformats.org/officeDocument/2006/relationships" r:id="rId1"/>
          <a:extLst>
            <a:ext uri="{FF2B5EF4-FFF2-40B4-BE49-F238E27FC236}">
              <a16:creationId xmlns:a16="http://schemas.microsoft.com/office/drawing/2014/main" id="{E36EB32E-2EF2-490F-8794-D8E8016567C3}"/>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xdr:from>
      <xdr:col>1</xdr:col>
      <xdr:colOff>180975</xdr:colOff>
      <xdr:row>13</xdr:row>
      <xdr:rowOff>133350</xdr:rowOff>
    </xdr:from>
    <xdr:to>
      <xdr:col>6</xdr:col>
      <xdr:colOff>76200</xdr:colOff>
      <xdr:row>20</xdr:row>
      <xdr:rowOff>104775</xdr:rowOff>
    </xdr:to>
    <xdr:sp macro="" textlink="">
      <xdr:nvSpPr>
        <xdr:cNvPr id="5" name="Rektangel 4">
          <a:extLst>
            <a:ext uri="{FF2B5EF4-FFF2-40B4-BE49-F238E27FC236}">
              <a16:creationId xmlns:a16="http://schemas.microsoft.com/office/drawing/2014/main" id="{9F456695-C68A-4F0B-A067-4167A4CEAB07}"/>
            </a:ext>
          </a:extLst>
        </xdr:cNvPr>
        <xdr:cNvSpPr/>
      </xdr:nvSpPr>
      <xdr:spPr>
        <a:xfrm>
          <a:off x="342900" y="63036450"/>
          <a:ext cx="3257550" cy="1409700"/>
        </a:xfrm>
        <a:prstGeom prst="rect">
          <a:avLst/>
        </a:prstGeom>
        <a:noFill/>
        <a:ln>
          <a:solidFill>
            <a:schemeClr val="bg1">
              <a:lumMod val="65000"/>
            </a:schemeClr>
          </a:solidFill>
        </a:ln>
        <a:effectLst>
          <a:outerShdw blurRad="76200" dist="12700" dir="2700000" sy="-23000" kx="-800400" algn="bl" rotWithShape="0">
            <a:prstClr val="black">
              <a:alpha val="2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da-DK" sz="1200" b="1">
            <a:solidFill>
              <a:srgbClr val="970F21"/>
            </a:solidFill>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207973</xdr:colOff>
      <xdr:row>4</xdr:row>
      <xdr:rowOff>0</xdr:rowOff>
    </xdr:to>
    <xdr:pic>
      <xdr:nvPicPr>
        <xdr:cNvPr id="2" name="Billede 1">
          <a:hlinkClick xmlns:r="http://schemas.openxmlformats.org/officeDocument/2006/relationships" r:id="rId1"/>
          <a:extLst>
            <a:ext uri="{FF2B5EF4-FFF2-40B4-BE49-F238E27FC236}">
              <a16:creationId xmlns:a16="http://schemas.microsoft.com/office/drawing/2014/main" id="{69624AB9-9C80-4DD0-A65D-8FF474431F34}"/>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8498" cy="762000"/>
        </a:xfrm>
        <a:prstGeom prst="rect">
          <a:avLst/>
        </a:prstGeom>
      </xdr:spPr>
    </xdr:pic>
    <xdr:clientData/>
  </xdr:twoCellAnchor>
  <xdr:twoCellAnchor editAs="oneCell">
    <xdr:from>
      <xdr:col>9</xdr:col>
      <xdr:colOff>248295</xdr:colOff>
      <xdr:row>17</xdr:row>
      <xdr:rowOff>19051</xdr:rowOff>
    </xdr:from>
    <xdr:to>
      <xdr:col>14</xdr:col>
      <xdr:colOff>15240</xdr:colOff>
      <xdr:row>32</xdr:row>
      <xdr:rowOff>0</xdr:rowOff>
    </xdr:to>
    <xdr:pic>
      <xdr:nvPicPr>
        <xdr:cNvPr id="4" name="Billede 3">
          <a:extLst>
            <a:ext uri="{FF2B5EF4-FFF2-40B4-BE49-F238E27FC236}">
              <a16:creationId xmlns:a16="http://schemas.microsoft.com/office/drawing/2014/main" id="{95D0CEBE-8A5A-FFC5-0CB9-8A43120C6E28}"/>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4715520" y="4143376"/>
          <a:ext cx="2856855" cy="3543299"/>
        </a:xfrm>
        <a:prstGeom prst="rect">
          <a:avLst/>
        </a:prstGeom>
      </xdr:spPr>
    </xdr:pic>
    <xdr:clientData/>
  </xdr:twoCellAnchor>
  <xdr:twoCellAnchor editAs="oneCell">
    <xdr:from>
      <xdr:col>10</xdr:col>
      <xdr:colOff>476250</xdr:colOff>
      <xdr:row>36</xdr:row>
      <xdr:rowOff>7619</xdr:rowOff>
    </xdr:from>
    <xdr:to>
      <xdr:col>14</xdr:col>
      <xdr:colOff>1053</xdr:colOff>
      <xdr:row>42</xdr:row>
      <xdr:rowOff>15670</xdr:rowOff>
    </xdr:to>
    <xdr:pic>
      <xdr:nvPicPr>
        <xdr:cNvPr id="5" name="Billede 4" descr="Post Image">
          <a:extLst>
            <a:ext uri="{FF2B5EF4-FFF2-40B4-BE49-F238E27FC236}">
              <a16:creationId xmlns:a16="http://schemas.microsoft.com/office/drawing/2014/main" id="{403B3436-D408-8679-2F85-EA04AD586F3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715000" y="8408669"/>
          <a:ext cx="2077503" cy="13758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480059</xdr:colOff>
      <xdr:row>47</xdr:row>
      <xdr:rowOff>180974</xdr:rowOff>
    </xdr:from>
    <xdr:to>
      <xdr:col>14</xdr:col>
      <xdr:colOff>628</xdr:colOff>
      <xdr:row>53</xdr:row>
      <xdr:rowOff>171029</xdr:rowOff>
    </xdr:to>
    <xdr:pic>
      <xdr:nvPicPr>
        <xdr:cNvPr id="7" name="Billede 6" descr="Post Image">
          <a:extLst>
            <a:ext uri="{FF2B5EF4-FFF2-40B4-BE49-F238E27FC236}">
              <a16:creationId xmlns:a16="http://schemas.microsoft.com/office/drawing/2014/main" id="{1F8198BB-4B8F-420C-70DA-4BFF8DC61AEB}"/>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8809" y="11096624"/>
          <a:ext cx="2073269" cy="1371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2</xdr:col>
      <xdr:colOff>38176</xdr:colOff>
      <xdr:row>17</xdr:row>
      <xdr:rowOff>98424</xdr:rowOff>
    </xdr:from>
    <xdr:to>
      <xdr:col>7</xdr:col>
      <xdr:colOff>35039</xdr:colOff>
      <xdr:row>28</xdr:row>
      <xdr:rowOff>92075</xdr:rowOff>
    </xdr:to>
    <xdr:pic>
      <xdr:nvPicPr>
        <xdr:cNvPr id="2" name="Billede 1" descr="Pizza Caprese: The Recipe to prepare a House - Silvio Cicchi">
          <a:extLst>
            <a:ext uri="{FF2B5EF4-FFF2-40B4-BE49-F238E27FC236}">
              <a16:creationId xmlns:a16="http://schemas.microsoft.com/office/drawing/2014/main" id="{A79B18A8-FA25-4A3D-9141-72640382836B}"/>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390601" y="2917824"/>
          <a:ext cx="3044863" cy="19970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xdr:colOff>
      <xdr:row>21</xdr:row>
      <xdr:rowOff>0</xdr:rowOff>
    </xdr:from>
    <xdr:to>
      <xdr:col>15</xdr:col>
      <xdr:colOff>2746</xdr:colOff>
      <xdr:row>31</xdr:row>
      <xdr:rowOff>152400</xdr:rowOff>
    </xdr:to>
    <xdr:pic>
      <xdr:nvPicPr>
        <xdr:cNvPr id="6" name="imi" descr="Close up of traditional Pizza Capricciosa in italian restaurant. Front  view. Italian food concept Stock Photo - Alamy">
          <a:extLst>
            <a:ext uri="{FF2B5EF4-FFF2-40B4-BE49-F238E27FC236}">
              <a16:creationId xmlns:a16="http://schemas.microsoft.com/office/drawing/2014/main" id="{23D007C1-1863-4C91-B321-9919B6BEB45C}"/>
            </a:ext>
          </a:extLst>
        </xdr:cNvPr>
        <xdr:cNvPicPr>
          <a:picLocks noChangeAspect="1" noChangeArrowheads="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a:off x="3971926" y="3438525"/>
          <a:ext cx="3041220" cy="198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50</xdr:row>
      <xdr:rowOff>95249</xdr:rowOff>
    </xdr:from>
    <xdr:to>
      <xdr:col>15</xdr:col>
      <xdr:colOff>14376</xdr:colOff>
      <xdr:row>60</xdr:row>
      <xdr:rowOff>170973</xdr:rowOff>
    </xdr:to>
    <xdr:pic>
      <xdr:nvPicPr>
        <xdr:cNvPr id="7" name="Billede 6">
          <a:extLst>
            <a:ext uri="{FF2B5EF4-FFF2-40B4-BE49-F238E27FC236}">
              <a16:creationId xmlns:a16="http://schemas.microsoft.com/office/drawing/2014/main" id="{B8246CEE-705E-444C-8DE5-0542AFE048E1}"/>
            </a:ext>
          </a:extLst>
        </xdr:cNvPr>
        <xdr:cNvPicPr>
          <a:picLocks noChangeAspect="1" noChangeArrowheads="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bwMode="auto">
        <a:xfrm>
          <a:off x="3971925" y="9001124"/>
          <a:ext cx="3059201" cy="1885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47</xdr:row>
      <xdr:rowOff>0</xdr:rowOff>
    </xdr:from>
    <xdr:to>
      <xdr:col>7</xdr:col>
      <xdr:colOff>60286</xdr:colOff>
      <xdr:row>58</xdr:row>
      <xdr:rowOff>53975</xdr:rowOff>
    </xdr:to>
    <xdr:pic>
      <xdr:nvPicPr>
        <xdr:cNvPr id="9" name="Billede 8">
          <a:extLst>
            <a:ext uri="{FF2B5EF4-FFF2-40B4-BE49-F238E27FC236}">
              <a16:creationId xmlns:a16="http://schemas.microsoft.com/office/drawing/2014/main" id="{89C3DC80-0F0D-4580-98EA-5B1A4397D52B}"/>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349250" y="13716000"/>
          <a:ext cx="3076536" cy="214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112059</xdr:colOff>
      <xdr:row>75</xdr:row>
      <xdr:rowOff>52296</xdr:rowOff>
    </xdr:from>
    <xdr:to>
      <xdr:col>15</xdr:col>
      <xdr:colOff>746</xdr:colOff>
      <xdr:row>85</xdr:row>
      <xdr:rowOff>129056</xdr:rowOff>
    </xdr:to>
    <xdr:pic>
      <xdr:nvPicPr>
        <xdr:cNvPr id="10" name="Billede 9" descr="Sauceless pizza on white board next to three other pizzas.">
          <a:extLst>
            <a:ext uri="{FF2B5EF4-FFF2-40B4-BE49-F238E27FC236}">
              <a16:creationId xmlns:a16="http://schemas.microsoft.com/office/drawing/2014/main" id="{0325A03D-DE60-4D91-8243-025A50755A84}"/>
            </a:ext>
          </a:extLst>
        </xdr:cNvPr>
        <xdr:cNvPicPr>
          <a:picLocks noChangeAspect="1" noChangeArrowheads="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bwMode="auto">
        <a:xfrm>
          <a:off x="3951941" y="13887825"/>
          <a:ext cx="3070411" cy="1934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22413</xdr:colOff>
      <xdr:row>69</xdr:row>
      <xdr:rowOff>82176</xdr:rowOff>
    </xdr:from>
    <xdr:to>
      <xdr:col>7</xdr:col>
      <xdr:colOff>73586</xdr:colOff>
      <xdr:row>80</xdr:row>
      <xdr:rowOff>59175</xdr:rowOff>
    </xdr:to>
    <xdr:pic>
      <xdr:nvPicPr>
        <xdr:cNvPr id="11" name="Billede 10">
          <a:extLst>
            <a:ext uri="{FF2B5EF4-FFF2-40B4-BE49-F238E27FC236}">
              <a16:creationId xmlns:a16="http://schemas.microsoft.com/office/drawing/2014/main" id="{504BC44F-100B-45C4-955E-8DD1F9DBA3DD}"/>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373531" y="17653000"/>
          <a:ext cx="3107764" cy="2031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14942</xdr:colOff>
      <xdr:row>96</xdr:row>
      <xdr:rowOff>82176</xdr:rowOff>
    </xdr:from>
    <xdr:to>
      <xdr:col>15</xdr:col>
      <xdr:colOff>33486</xdr:colOff>
      <xdr:row>108</xdr:row>
      <xdr:rowOff>22410</xdr:rowOff>
    </xdr:to>
    <xdr:pic>
      <xdr:nvPicPr>
        <xdr:cNvPr id="12" name="Billede 11" descr="Pizza al prosciutto e funghi - la ricetta spiegata passo a passo">
          <a:extLst>
            <a:ext uri="{FF2B5EF4-FFF2-40B4-BE49-F238E27FC236}">
              <a16:creationId xmlns:a16="http://schemas.microsoft.com/office/drawing/2014/main" id="{3E415C56-7409-4E80-A74C-552B5E036445}"/>
            </a:ext>
          </a:extLst>
        </xdr:cNvPr>
        <xdr:cNvPicPr>
          <a:picLocks noChangeAspect="1" noChangeArrowheads="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bwMode="auto">
        <a:xfrm>
          <a:off x="3989295" y="17839764"/>
          <a:ext cx="3078310" cy="2181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7471</xdr:colOff>
      <xdr:row>94</xdr:row>
      <xdr:rowOff>74706</xdr:rowOff>
    </xdr:from>
    <xdr:to>
      <xdr:col>7</xdr:col>
      <xdr:colOff>14941</xdr:colOff>
      <xdr:row>105</xdr:row>
      <xdr:rowOff>91188</xdr:rowOff>
    </xdr:to>
    <xdr:pic>
      <xdr:nvPicPr>
        <xdr:cNvPr id="13" name="imi" descr="Pizza Prosciutto Crudo - Picture of Ristorante Italiano, Copenhagen -  Tripadvisor">
          <a:extLst>
            <a:ext uri="{FF2B5EF4-FFF2-40B4-BE49-F238E27FC236}">
              <a16:creationId xmlns:a16="http://schemas.microsoft.com/office/drawing/2014/main" id="{226B7F14-4704-4C9D-B10A-E1FC2265ADA3}"/>
            </a:ext>
          </a:extLst>
        </xdr:cNvPr>
        <xdr:cNvPicPr>
          <a:picLocks noChangeAspect="1" noChangeArrowheads="1"/>
        </xdr:cNvPicPr>
      </xdr:nvPicPr>
      <xdr:blipFill>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bwMode="auto">
        <a:xfrm>
          <a:off x="358589" y="22314647"/>
          <a:ext cx="3070411" cy="2068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22411</xdr:colOff>
      <xdr:row>114</xdr:row>
      <xdr:rowOff>52295</xdr:rowOff>
    </xdr:from>
    <xdr:to>
      <xdr:col>7</xdr:col>
      <xdr:colOff>14941</xdr:colOff>
      <xdr:row>123</xdr:row>
      <xdr:rowOff>110331</xdr:rowOff>
    </xdr:to>
    <xdr:pic>
      <xdr:nvPicPr>
        <xdr:cNvPr id="14" name="Billede 13" descr="Pizza Margherita">
          <a:extLst>
            <a:ext uri="{FF2B5EF4-FFF2-40B4-BE49-F238E27FC236}">
              <a16:creationId xmlns:a16="http://schemas.microsoft.com/office/drawing/2014/main" id="{E606E416-45DC-4EA8-9006-01C122941195}"/>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a:off x="373529" y="20984883"/>
          <a:ext cx="3055471" cy="1738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19050</xdr:colOff>
      <xdr:row>121</xdr:row>
      <xdr:rowOff>120650</xdr:rowOff>
    </xdr:from>
    <xdr:to>
      <xdr:col>15</xdr:col>
      <xdr:colOff>55077</xdr:colOff>
      <xdr:row>131</xdr:row>
      <xdr:rowOff>15875</xdr:rowOff>
    </xdr:to>
    <xdr:pic>
      <xdr:nvPicPr>
        <xdr:cNvPr id="17" name="Billede 16" descr="Pizza Marinara photo">
          <a:extLst>
            <a:ext uri="{FF2B5EF4-FFF2-40B4-BE49-F238E27FC236}">
              <a16:creationId xmlns:a16="http://schemas.microsoft.com/office/drawing/2014/main" id="{CA89FD4F-B9F7-4AEF-ABDA-363E6025248D}"/>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3981450" y="22244050"/>
          <a:ext cx="3084027" cy="173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6350</xdr:colOff>
      <xdr:row>134</xdr:row>
      <xdr:rowOff>76200</xdr:rowOff>
    </xdr:from>
    <xdr:to>
      <xdr:col>7</xdr:col>
      <xdr:colOff>34925</xdr:colOff>
      <xdr:row>146</xdr:row>
      <xdr:rowOff>91017</xdr:rowOff>
    </xdr:to>
    <xdr:pic>
      <xdr:nvPicPr>
        <xdr:cNvPr id="18" name="Billede 17" descr="Pizza Diavola">
          <a:extLst>
            <a:ext uri="{FF2B5EF4-FFF2-40B4-BE49-F238E27FC236}">
              <a16:creationId xmlns:a16="http://schemas.microsoft.com/office/drawing/2014/main" id="{7895FD43-2416-48F9-9158-DC730B81B39D}"/>
            </a:ext>
          </a:extLst>
        </xdr:cNvPr>
        <xdr:cNvPicPr>
          <a:picLocks noChangeAspect="1" noChangeArrowheads="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bwMode="auto">
        <a:xfrm>
          <a:off x="355600" y="24409400"/>
          <a:ext cx="3067050" cy="2215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120650</xdr:colOff>
      <xdr:row>148</xdr:row>
      <xdr:rowOff>63501</xdr:rowOff>
    </xdr:from>
    <xdr:to>
      <xdr:col>15</xdr:col>
      <xdr:colOff>3175</xdr:colOff>
      <xdr:row>161</xdr:row>
      <xdr:rowOff>57151</xdr:rowOff>
    </xdr:to>
    <xdr:pic>
      <xdr:nvPicPr>
        <xdr:cNvPr id="19" name="imi" descr="PIZZA CON STRACCHINO E SALAME PICCANTE">
          <a:extLst>
            <a:ext uri="{FF2B5EF4-FFF2-40B4-BE49-F238E27FC236}">
              <a16:creationId xmlns:a16="http://schemas.microsoft.com/office/drawing/2014/main" id="{1A52B385-96DE-4C0A-B87F-7C3556077A24}"/>
            </a:ext>
          </a:extLst>
        </xdr:cNvPr>
        <xdr:cNvPicPr>
          <a:picLocks noChangeAspect="1" noChangeArrowheads="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bwMode="auto">
        <a:xfrm>
          <a:off x="3949700" y="27158951"/>
          <a:ext cx="3054350" cy="238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104775</xdr:colOff>
      <xdr:row>0</xdr:row>
      <xdr:rowOff>85725</xdr:rowOff>
    </xdr:from>
    <xdr:to>
      <xdr:col>2</xdr:col>
      <xdr:colOff>236548</xdr:colOff>
      <xdr:row>2</xdr:row>
      <xdr:rowOff>104776</xdr:rowOff>
    </xdr:to>
    <xdr:pic>
      <xdr:nvPicPr>
        <xdr:cNvPr id="3" name="Billede 2">
          <a:hlinkClick xmlns:r="http://schemas.openxmlformats.org/officeDocument/2006/relationships" r:id="rId13"/>
          <a:extLst>
            <a:ext uri="{FF2B5EF4-FFF2-40B4-BE49-F238E27FC236}">
              <a16:creationId xmlns:a16="http://schemas.microsoft.com/office/drawing/2014/main" id="{C22442AA-FD6F-49F6-89AD-B8A9A957D9FA}"/>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t="-621" r="-1" b="-6014"/>
        <a:stretch/>
      </xdr:blipFill>
      <xdr:spPr>
        <a:xfrm>
          <a:off x="104775" y="85725"/>
          <a:ext cx="465148" cy="44767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168774</xdr:colOff>
      <xdr:row>3</xdr:row>
      <xdr:rowOff>169765</xdr:rowOff>
    </xdr:to>
    <xdr:pic>
      <xdr:nvPicPr>
        <xdr:cNvPr id="2" name="Billede 1">
          <a:hlinkClick xmlns:r="http://schemas.openxmlformats.org/officeDocument/2006/relationships" r:id="rId1"/>
          <a:extLst>
            <a:ext uri="{FF2B5EF4-FFF2-40B4-BE49-F238E27FC236}">
              <a16:creationId xmlns:a16="http://schemas.microsoft.com/office/drawing/2014/main" id="{B5D1A40C-EF1E-4D61-B60F-52078DF1AB00}"/>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27884" t="-48265" b="-33240"/>
        <a:stretch/>
      </xdr:blipFill>
      <xdr:spPr>
        <a:xfrm>
          <a:off x="0" y="0"/>
          <a:ext cx="597399" cy="756505"/>
        </a:xfrm>
        <a:prstGeom prst="rect">
          <a:avLst/>
        </a:prstGeom>
      </xdr:spPr>
    </xdr:pic>
    <xdr:clientData/>
  </xdr:twoCellAnchor>
  <xdr:twoCellAnchor editAs="oneCell">
    <xdr:from>
      <xdr:col>14</xdr:col>
      <xdr:colOff>0</xdr:colOff>
      <xdr:row>2</xdr:row>
      <xdr:rowOff>55245</xdr:rowOff>
    </xdr:from>
    <xdr:to>
      <xdr:col>14</xdr:col>
      <xdr:colOff>228572</xdr:colOff>
      <xdr:row>3</xdr:row>
      <xdr:rowOff>93316</xdr:rowOff>
    </xdr:to>
    <xdr:pic macro="[0]!Denne_projektmappe.Printer">
      <xdr:nvPicPr>
        <xdr:cNvPr id="3" name="Billede 2">
          <a:extLst>
            <a:ext uri="{FF2B5EF4-FFF2-40B4-BE49-F238E27FC236}">
              <a16:creationId xmlns:a16="http://schemas.microsoft.com/office/drawing/2014/main" id="{0662D7EB-1648-43A1-A150-56153420C7D9}"/>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rightnessContrast bright="20000"/>
                  </a14:imgEffect>
                </a14:imgLayer>
              </a14:imgProps>
            </a:ext>
            <a:ext uri="{28A0092B-C50C-407E-A947-70E740481C1C}">
              <a14:useLocalDpi xmlns:a14="http://schemas.microsoft.com/office/drawing/2010/main"/>
            </a:ext>
          </a:extLst>
        </a:blip>
        <a:stretch>
          <a:fillRect/>
        </a:stretch>
      </xdr:blipFill>
      <xdr:spPr>
        <a:xfrm>
          <a:off x="11470005" y="436245"/>
          <a:ext cx="228572" cy="228571"/>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solidFill>
            <a:schemeClr val="bg1"/>
          </a:solidFill>
        </a:ln>
        <a:effectLst>
          <a:outerShdw blurRad="76200" dist="12700" dir="2700000" sy="-23000" kx="-800400" algn="bl" rotWithShape="0">
            <a:prstClr val="black">
              <a:alpha val="20000"/>
            </a:prstClr>
          </a:outerShdw>
        </a:effectLst>
      </a:spPr>
      <a:bodyPr vertOverflow="clip" horzOverflow="clip" rtlCol="0" anchor="ctr"/>
      <a:lstStyle>
        <a:defPPr algn="ctr">
          <a:defRPr sz="1200" b="1">
            <a:solidFill>
              <a:srgbClr val="970F21"/>
            </a:solidFill>
            <a:latin typeface="Arial" panose="020B0604020202020204" pitchFamily="34" charset="0"/>
            <a:cs typeface="Arial" panose="020B0604020202020204" pitchFamily="34" charset="0"/>
          </a:defRPr>
        </a:defPPr>
      </a:lstStyle>
      <a:style>
        <a:lnRef idx="2">
          <a:schemeClr val="accent6"/>
        </a:lnRef>
        <a:fillRef idx="1">
          <a:schemeClr val="lt1"/>
        </a:fillRef>
        <a:effectRef idx="0">
          <a:schemeClr val="accent6"/>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bagerkokken.dk/arrangementer/" TargetMode="External"/><Relationship Id="rId7" Type="http://schemas.openxmlformats.org/officeDocument/2006/relationships/hyperlink" Target="https://ko-fi.com/pizzatool" TargetMode="External"/><Relationship Id="rId2" Type="http://schemas.openxmlformats.org/officeDocument/2006/relationships/hyperlink" Target="https://bagerkokken.dk/kurser/" TargetMode="External"/><Relationship Id="rId1" Type="http://schemas.openxmlformats.org/officeDocument/2006/relationships/hyperlink" Target="mailto:torbenk@outlook.dk?subject=PizzaTool" TargetMode="External"/><Relationship Id="rId6" Type="http://schemas.openxmlformats.org/officeDocument/2006/relationships/hyperlink" Target="https://bagerkokken.dk/kontakt/" TargetMode="External"/><Relationship Id="rId5" Type="http://schemas.openxmlformats.org/officeDocument/2006/relationships/hyperlink" Target="https://bagerkokken.dk/om/" TargetMode="External"/><Relationship Id="rId4" Type="http://schemas.openxmlformats.org/officeDocument/2006/relationships/hyperlink" Target="https://bagerkokken.dk/opskrifter/"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amazon.de/s?k=Diastatic+Malt&amp;i=grocery&amp;crid=12KB4YP122X85&amp;sprefix=diastatic+malt%2Cgrocery%2C114&amp;ref=nb_sb_noss_1"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youtube.com/@PerfectPizzaatHome"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pizzapal.dk/" TargetMode="External"/><Relationship Id="rId1" Type="http://schemas.openxmlformats.org/officeDocument/2006/relationships/hyperlink" Target="https://www.youtube.com/@PerfectPizzaatHome"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s://www.insidetherustickitchen.com/authentic-italian-tomato-sauce-quick-easy-delicious/" TargetMode="External"/><Relationship Id="rId1" Type="http://schemas.openxmlformats.org/officeDocument/2006/relationships/hyperlink" Target="https://www.christinascucina.com/best-pizza-sauce-recipe-no-cook-authentic-italian-style/" TargetMode="External"/><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6.bin"/><Relationship Id="rId1" Type="http://schemas.openxmlformats.org/officeDocument/2006/relationships/hyperlink" Target="https://www.thekitchn.com/skills-battle-best-way-to-reheat-pizza-22997397"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7.bin"/><Relationship Id="rId1" Type="http://schemas.openxmlformats.org/officeDocument/2006/relationships/hyperlink" Target="https://www.tasteatlas.com/50-most-popular-pizzas-in-the-world?fbclid=IwAR2poSyMnClvTeDnLq4zVjcoSA3WRV4KtnDMbL4KgKcI30tPAz_xeMzOwLw" TargetMode="Externa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s://ggalmazor.github.io/bread_making/poolish_recipe_calculator.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4952A-A5E0-44CE-9C03-DD8936ABBFE7}">
  <sheetPr codeName="Ark3">
    <tabColor theme="9" tint="0.39997558519241921"/>
    <pageSetUpPr autoPageBreaks="0"/>
  </sheetPr>
  <dimension ref="A1:V41"/>
  <sheetViews>
    <sheetView showGridLines="0" showRowColHeaders="0" tabSelected="1" zoomScaleNormal="100" workbookViewId="0">
      <pane ySplit="5" topLeftCell="A6" activePane="bottomLeft" state="frozen"/>
      <selection pane="bottomLeft" sqref="A1:Q2"/>
    </sheetView>
  </sheetViews>
  <sheetFormatPr defaultColWidth="0" defaultRowHeight="18.75" zeroHeight="1"/>
  <cols>
    <col min="1" max="6" width="9.140625" style="88" customWidth="1"/>
    <col min="7" max="7" width="12.42578125" style="88" customWidth="1"/>
    <col min="8" max="8" width="3.5703125" style="88" customWidth="1"/>
    <col min="9" max="9" width="4.140625" style="88" customWidth="1"/>
    <col min="10" max="10" width="8.7109375" style="88" customWidth="1"/>
    <col min="11" max="11" width="9.140625" style="88" customWidth="1"/>
    <col min="12" max="12" width="11.28515625" style="88" customWidth="1"/>
    <col min="13" max="13" width="3.7109375" style="88" customWidth="1"/>
    <col min="14" max="14" width="12.42578125" style="88" customWidth="1"/>
    <col min="15" max="15" width="9.140625" style="88" customWidth="1"/>
    <col min="16" max="16" width="11.7109375" style="88" customWidth="1"/>
    <col min="17" max="17" width="3.85546875" style="88" customWidth="1"/>
    <col min="18" max="22" width="0" style="88" hidden="1" customWidth="1"/>
    <col min="23" max="16384" width="9.140625" style="88" hidden="1"/>
  </cols>
  <sheetData>
    <row r="1" spans="1:19" ht="22.5" customHeight="1">
      <c r="A1" s="1866" t="s">
        <v>1327</v>
      </c>
      <c r="B1" s="1866"/>
      <c r="C1" s="1866"/>
      <c r="D1" s="1866"/>
      <c r="E1" s="1866"/>
      <c r="F1" s="1866"/>
      <c r="G1" s="1866"/>
      <c r="H1" s="1866"/>
      <c r="I1" s="1866"/>
      <c r="J1" s="1866"/>
      <c r="K1" s="1866"/>
      <c r="L1" s="1866"/>
      <c r="M1" s="1866"/>
      <c r="N1" s="1866"/>
      <c r="O1" s="1866"/>
      <c r="P1" s="1866"/>
      <c r="Q1" s="1867"/>
    </row>
    <row r="2" spans="1:19" ht="22.5" customHeight="1" thickBot="1">
      <c r="A2" s="1868"/>
      <c r="B2" s="1868"/>
      <c r="C2" s="1868"/>
      <c r="D2" s="1868"/>
      <c r="E2" s="1868"/>
      <c r="F2" s="1868"/>
      <c r="G2" s="1868"/>
      <c r="H2" s="1868"/>
      <c r="I2" s="1868"/>
      <c r="J2" s="1868"/>
      <c r="K2" s="1868"/>
      <c r="L2" s="1868"/>
      <c r="M2" s="1868"/>
      <c r="N2" s="1868"/>
      <c r="O2" s="1868"/>
      <c r="P2" s="1868"/>
      <c r="Q2" s="1869"/>
    </row>
    <row r="3" spans="1:19" ht="18.75" customHeight="1">
      <c r="A3" s="1872"/>
      <c r="B3" s="1876" t="s">
        <v>1334</v>
      </c>
      <c r="C3" s="1876"/>
      <c r="D3" s="1876"/>
      <c r="E3" s="1876"/>
      <c r="F3" s="1876"/>
      <c r="G3" s="540"/>
      <c r="H3" s="1786"/>
      <c r="I3" s="541"/>
      <c r="J3" s="541"/>
      <c r="K3" s="541"/>
      <c r="L3" s="541"/>
      <c r="M3" s="541"/>
      <c r="N3" s="541"/>
      <c r="O3" s="541"/>
      <c r="P3" s="541"/>
      <c r="Q3" s="541"/>
    </row>
    <row r="4" spans="1:19" ht="18.75" customHeight="1">
      <c r="A4" s="1872"/>
      <c r="B4" s="1876"/>
      <c r="C4" s="1876"/>
      <c r="D4" s="1876"/>
      <c r="E4" s="1876"/>
      <c r="F4" s="1876"/>
      <c r="G4" s="542"/>
      <c r="H4" s="541"/>
      <c r="I4" s="541"/>
      <c r="J4" s="541"/>
      <c r="K4" s="1774"/>
      <c r="L4" s="1774"/>
      <c r="M4" s="1774"/>
      <c r="N4" s="1774"/>
      <c r="O4" s="1774"/>
      <c r="P4" s="1774"/>
      <c r="Q4" s="1774"/>
    </row>
    <row r="5" spans="1:19" ht="19.5" customHeight="1" thickBot="1">
      <c r="A5" s="543"/>
      <c r="B5" s="1873" t="s">
        <v>1285</v>
      </c>
      <c r="C5" s="1873"/>
      <c r="D5" s="1873"/>
      <c r="E5" s="1873"/>
      <c r="F5" s="1873"/>
      <c r="G5" s="544"/>
      <c r="H5" s="543"/>
      <c r="I5" s="543"/>
      <c r="J5" s="543"/>
      <c r="K5" s="1775"/>
      <c r="L5" s="1775"/>
      <c r="M5" s="1775"/>
      <c r="N5" s="1775"/>
      <c r="O5" s="1775"/>
      <c r="P5" s="1775"/>
      <c r="Q5" s="1775"/>
    </row>
    <row r="6" spans="1:19" ht="14.25" customHeight="1" thickTop="1">
      <c r="A6" s="91"/>
      <c r="B6" s="1870" t="s">
        <v>481</v>
      </c>
      <c r="C6" s="1870"/>
      <c r="D6" s="1870"/>
      <c r="E6" s="1870"/>
      <c r="F6" s="1870"/>
      <c r="G6" s="1870"/>
      <c r="H6" s="537"/>
      <c r="I6" s="537"/>
      <c r="J6" s="1871" t="s">
        <v>477</v>
      </c>
      <c r="K6" s="1871"/>
      <c r="L6" s="1871"/>
      <c r="M6" s="537"/>
      <c r="N6" s="1874" t="s">
        <v>315</v>
      </c>
      <c r="O6" s="1874"/>
      <c r="P6" s="588"/>
      <c r="Q6" s="91"/>
    </row>
    <row r="7" spans="1:19" ht="43.5" customHeight="1">
      <c r="A7" s="91"/>
      <c r="B7" s="1870"/>
      <c r="C7" s="1870"/>
      <c r="D7" s="1870"/>
      <c r="E7" s="1870"/>
      <c r="F7" s="1870"/>
      <c r="G7" s="1870"/>
      <c r="H7" s="537"/>
      <c r="I7" s="537"/>
      <c r="J7" s="1871"/>
      <c r="K7" s="1871"/>
      <c r="L7" s="1871"/>
      <c r="M7" s="537"/>
      <c r="N7" s="1875"/>
      <c r="O7" s="1875"/>
      <c r="P7" s="588"/>
      <c r="Q7" s="91"/>
    </row>
    <row r="8" spans="1:19" ht="18.75" customHeight="1">
      <c r="A8" s="91"/>
      <c r="B8" s="538"/>
      <c r="C8" s="538"/>
      <c r="D8" s="538"/>
      <c r="E8" s="538"/>
      <c r="F8" s="91"/>
      <c r="G8" s="91"/>
      <c r="H8" s="91"/>
      <c r="I8" s="91"/>
      <c r="J8" s="91"/>
      <c r="K8" s="91"/>
      <c r="L8" s="91"/>
      <c r="M8" s="91"/>
      <c r="N8" s="91"/>
      <c r="O8" s="91"/>
      <c r="P8" s="91"/>
      <c r="Q8" s="91"/>
    </row>
    <row r="9" spans="1:19" ht="18.75" customHeight="1">
      <c r="A9" s="91"/>
      <c r="B9" s="538"/>
      <c r="C9" s="538"/>
      <c r="D9" s="538"/>
      <c r="E9" s="538"/>
      <c r="F9" s="91"/>
      <c r="G9" s="91"/>
      <c r="H9" s="91"/>
      <c r="I9" s="91"/>
      <c r="J9" s="91"/>
      <c r="K9" s="91"/>
      <c r="L9" s="91"/>
      <c r="M9" s="91"/>
      <c r="N9" s="91"/>
      <c r="O9" s="91"/>
      <c r="P9" s="91"/>
      <c r="Q9" s="91"/>
    </row>
    <row r="10" spans="1:19" ht="18.75" customHeight="1">
      <c r="A10" s="92"/>
      <c r="B10" s="538"/>
      <c r="C10" s="538"/>
      <c r="D10" s="538"/>
      <c r="E10" s="538"/>
      <c r="F10" s="92"/>
      <c r="G10" s="92"/>
      <c r="H10" s="92"/>
      <c r="I10" s="92"/>
      <c r="J10" s="92"/>
      <c r="K10" s="92"/>
      <c r="L10" s="92"/>
      <c r="M10" s="92"/>
      <c r="N10" s="92"/>
      <c r="O10" s="92"/>
      <c r="P10" s="92"/>
      <c r="Q10" s="92"/>
    </row>
    <row r="11" spans="1:19">
      <c r="A11" s="92"/>
      <c r="B11" s="92"/>
      <c r="C11" s="92"/>
      <c r="D11" s="92"/>
      <c r="E11" s="92"/>
      <c r="F11" s="92"/>
      <c r="G11" s="92"/>
      <c r="H11" s="92"/>
      <c r="I11" s="92"/>
      <c r="J11" s="92"/>
      <c r="K11" s="92"/>
      <c r="L11" s="92"/>
      <c r="M11" s="92"/>
      <c r="N11" s="92"/>
      <c r="O11" s="92"/>
      <c r="P11" s="92"/>
      <c r="Q11" s="92"/>
    </row>
    <row r="12" spans="1:19">
      <c r="A12" s="92"/>
      <c r="B12" s="92"/>
      <c r="C12" s="92"/>
      <c r="D12" s="92"/>
      <c r="E12" s="92"/>
      <c r="F12" s="92"/>
      <c r="G12" s="92"/>
      <c r="H12" s="92"/>
      <c r="I12" s="92"/>
      <c r="J12" s="92"/>
      <c r="K12" s="92"/>
      <c r="L12" s="92"/>
      <c r="M12" s="92"/>
      <c r="N12" s="92"/>
      <c r="O12" s="92"/>
      <c r="P12" s="92"/>
      <c r="Q12" s="92"/>
    </row>
    <row r="13" spans="1:19">
      <c r="A13" s="92"/>
      <c r="B13" s="92"/>
      <c r="C13" s="92"/>
      <c r="D13" s="92"/>
      <c r="E13" s="92"/>
      <c r="F13" s="92"/>
      <c r="G13" s="92"/>
      <c r="H13" s="92"/>
      <c r="I13" s="92"/>
      <c r="J13" s="92"/>
      <c r="K13" s="92"/>
      <c r="L13" s="92"/>
      <c r="M13" s="92"/>
      <c r="N13" s="92"/>
      <c r="O13" s="92"/>
      <c r="P13" s="92"/>
      <c r="Q13" s="92"/>
    </row>
    <row r="14" spans="1:19">
      <c r="A14" s="92"/>
      <c r="B14" s="92"/>
      <c r="C14" s="92"/>
      <c r="D14" s="92"/>
      <c r="E14" s="92"/>
      <c r="F14" s="92"/>
      <c r="G14" s="92"/>
      <c r="H14" s="92"/>
      <c r="I14" s="92"/>
      <c r="J14" s="92"/>
      <c r="K14" s="92"/>
      <c r="L14" s="92"/>
      <c r="M14" s="92"/>
      <c r="N14" s="92"/>
      <c r="O14" s="92"/>
      <c r="P14" s="92"/>
      <c r="Q14" s="92"/>
    </row>
    <row r="15" spans="1:19">
      <c r="A15" s="92"/>
      <c r="B15" s="92"/>
      <c r="C15" s="92"/>
      <c r="D15" s="92"/>
      <c r="E15" s="92"/>
      <c r="F15" s="92"/>
      <c r="G15" s="92"/>
      <c r="H15" s="92"/>
      <c r="I15" s="92"/>
      <c r="J15" s="92"/>
      <c r="K15" s="92"/>
      <c r="L15" s="92"/>
      <c r="M15" s="92"/>
      <c r="N15" s="92"/>
      <c r="O15" s="92"/>
      <c r="P15" s="92"/>
      <c r="Q15" s="92"/>
    </row>
    <row r="16" spans="1:19">
      <c r="A16" s="92"/>
      <c r="B16" s="92"/>
      <c r="C16" s="92"/>
      <c r="D16" s="92"/>
      <c r="E16" s="92"/>
      <c r="F16" s="92"/>
      <c r="G16" s="92"/>
      <c r="H16" s="92"/>
      <c r="I16" s="92"/>
      <c r="J16" s="92"/>
      <c r="K16" s="92"/>
      <c r="L16" s="92"/>
      <c r="M16" s="92"/>
      <c r="N16" s="92"/>
      <c r="O16" s="92"/>
      <c r="P16" s="92"/>
      <c r="Q16" s="92"/>
      <c r="S16"/>
    </row>
    <row r="17" spans="1:22">
      <c r="A17" s="92"/>
      <c r="B17" s="92"/>
      <c r="C17" s="92"/>
      <c r="D17" s="92"/>
      <c r="E17" s="92"/>
      <c r="F17" s="92"/>
      <c r="G17" s="92"/>
      <c r="H17" s="92"/>
      <c r="I17" s="92"/>
      <c r="J17" s="92"/>
      <c r="K17" s="92"/>
      <c r="L17" s="92"/>
      <c r="M17" s="92"/>
      <c r="N17" s="92"/>
      <c r="O17" s="92"/>
      <c r="P17" s="92"/>
      <c r="Q17" s="92"/>
      <c r="S17"/>
    </row>
    <row r="18" spans="1:22">
      <c r="A18" s="92"/>
      <c r="B18" s="92"/>
      <c r="C18" s="92"/>
      <c r="D18" s="92"/>
      <c r="E18" s="92"/>
      <c r="F18" s="92"/>
      <c r="G18" s="92"/>
      <c r="H18" s="92"/>
      <c r="I18" s="92"/>
      <c r="J18" s="92"/>
      <c r="K18" s="92"/>
      <c r="L18" s="92"/>
      <c r="M18" s="92"/>
      <c r="N18" s="92"/>
      <c r="O18" s="92"/>
      <c r="P18" s="92"/>
      <c r="Q18" s="92"/>
      <c r="S18"/>
    </row>
    <row r="19" spans="1:22">
      <c r="A19" s="92"/>
      <c r="B19" s="92"/>
      <c r="C19" s="92"/>
      <c r="D19" s="92"/>
      <c r="E19" s="92"/>
      <c r="F19" s="92"/>
      <c r="G19" s="92"/>
      <c r="H19" s="92"/>
      <c r="I19" s="92"/>
      <c r="J19" s="92"/>
      <c r="K19" s="92"/>
      <c r="L19" s="92"/>
      <c r="M19" s="92"/>
      <c r="N19" s="92"/>
      <c r="O19" s="92"/>
      <c r="P19" s="92"/>
      <c r="Q19" s="92"/>
      <c r="S19"/>
    </row>
    <row r="20" spans="1:22">
      <c r="A20" s="92"/>
      <c r="B20" s="92"/>
      <c r="C20" s="92"/>
      <c r="D20" s="92"/>
      <c r="E20" s="92"/>
      <c r="F20" s="92"/>
      <c r="G20" s="92"/>
      <c r="H20" s="92"/>
      <c r="I20" s="92"/>
      <c r="J20" s="92"/>
      <c r="K20" s="92"/>
      <c r="L20" s="92"/>
      <c r="M20" s="92"/>
      <c r="N20" s="92"/>
      <c r="O20" s="92"/>
      <c r="P20" s="92"/>
      <c r="Q20" s="92"/>
      <c r="S20"/>
    </row>
    <row r="21" spans="1:22">
      <c r="A21" s="92"/>
      <c r="B21" s="92"/>
      <c r="C21" s="92"/>
      <c r="D21" s="92"/>
      <c r="E21" s="92"/>
      <c r="F21" s="89"/>
      <c r="G21" s="92"/>
      <c r="H21" s="92"/>
      <c r="I21" s="92"/>
      <c r="J21" s="92"/>
      <c r="K21" s="92"/>
      <c r="L21" s="92"/>
      <c r="M21" s="92"/>
      <c r="N21" s="92"/>
      <c r="O21" s="92"/>
      <c r="P21" s="92"/>
      <c r="Q21" s="92"/>
    </row>
    <row r="22" spans="1:22">
      <c r="A22" s="92"/>
      <c r="B22" s="92"/>
      <c r="C22" s="92"/>
      <c r="D22" s="92"/>
      <c r="E22" s="539"/>
      <c r="F22" s="92"/>
      <c r="G22" s="92"/>
      <c r="H22" s="92"/>
      <c r="I22" s="92"/>
      <c r="J22" s="92"/>
      <c r="K22" s="92"/>
      <c r="L22" s="92"/>
      <c r="M22" s="92"/>
      <c r="N22" s="1877" t="s">
        <v>313</v>
      </c>
      <c r="O22" s="1877"/>
      <c r="P22" s="1877"/>
      <c r="Q22" s="1877"/>
    </row>
    <row r="23" spans="1:22" ht="19.5" thickBot="1">
      <c r="A23" s="1228"/>
      <c r="B23" s="1228"/>
      <c r="C23" s="1228"/>
      <c r="D23" s="1228"/>
      <c r="E23" s="1228"/>
      <c r="F23" s="1228"/>
      <c r="G23" s="1228"/>
      <c r="H23" s="1228"/>
      <c r="I23" s="1228"/>
      <c r="J23" s="1228"/>
      <c r="K23" s="1228"/>
      <c r="L23" s="1228"/>
      <c r="M23" s="1228"/>
      <c r="N23" s="1878"/>
      <c r="O23" s="1878"/>
      <c r="P23" s="1878"/>
      <c r="Q23" s="1878"/>
    </row>
    <row r="24" spans="1:22" ht="46.9" customHeight="1">
      <c r="A24" s="593"/>
      <c r="B24" s="763" t="s">
        <v>682</v>
      </c>
      <c r="C24" s="594"/>
      <c r="D24" s="594"/>
      <c r="E24" s="594"/>
      <c r="F24" s="594"/>
      <c r="G24" s="594"/>
      <c r="H24" s="594"/>
      <c r="I24" s="594"/>
      <c r="J24" s="595"/>
      <c r="K24" s="594"/>
      <c r="L24" s="594"/>
      <c r="M24" s="594"/>
      <c r="N24" s="594"/>
      <c r="O24" s="594"/>
      <c r="P24" s="594"/>
      <c r="Q24" s="596"/>
      <c r="S24"/>
    </row>
    <row r="25" spans="1:22" ht="13.5" customHeight="1">
      <c r="A25" s="601"/>
      <c r="B25" s="592"/>
      <c r="C25" s="491"/>
      <c r="D25" s="491"/>
      <c r="E25" s="491"/>
      <c r="F25" s="491"/>
      <c r="G25" s="491"/>
      <c r="H25" s="491"/>
      <c r="I25" s="491"/>
      <c r="J25" s="603" t="s">
        <v>693</v>
      </c>
      <c r="K25" s="1865" t="s">
        <v>694</v>
      </c>
      <c r="L25" s="1865"/>
      <c r="M25" s="604" t="s">
        <v>695</v>
      </c>
      <c r="N25" s="605"/>
      <c r="O25" s="606" t="s">
        <v>696</v>
      </c>
      <c r="P25" s="606" t="s">
        <v>697</v>
      </c>
      <c r="Q25" s="602"/>
      <c r="S25"/>
      <c r="V25"/>
    </row>
    <row r="26" spans="1:22" ht="42" customHeight="1">
      <c r="A26" s="597"/>
      <c r="B26" s="598"/>
      <c r="C26" s="598"/>
      <c r="D26" s="598"/>
      <c r="E26" s="598"/>
      <c r="F26" s="598"/>
      <c r="G26" s="598"/>
      <c r="H26" s="598"/>
      <c r="I26" s="598"/>
      <c r="J26" s="598"/>
      <c r="K26" s="598"/>
      <c r="L26" s="598"/>
      <c r="M26" s="598"/>
      <c r="N26" s="1665" t="s">
        <v>1157</v>
      </c>
      <c r="O26" s="598"/>
      <c r="P26" s="598"/>
      <c r="Q26" s="598"/>
      <c r="S26"/>
    </row>
    <row r="27" spans="1:22" ht="22.5" customHeight="1">
      <c r="A27" s="597"/>
      <c r="B27" s="598"/>
      <c r="C27" s="598"/>
      <c r="D27" s="598"/>
      <c r="E27" s="598"/>
      <c r="F27" s="598"/>
      <c r="G27" s="598"/>
      <c r="H27" s="598"/>
      <c r="I27" s="598"/>
      <c r="J27" s="598"/>
      <c r="K27" s="598"/>
      <c r="L27" s="598"/>
      <c r="M27" s="598"/>
      <c r="N27" s="883"/>
      <c r="O27" s="598"/>
      <c r="P27" s="598"/>
      <c r="Q27" s="598"/>
    </row>
    <row r="28" spans="1:22" ht="22.5" customHeight="1">
      <c r="A28" s="597"/>
      <c r="B28" s="598"/>
      <c r="C28" s="598"/>
      <c r="D28" s="598"/>
      <c r="E28" s="598"/>
      <c r="F28" s="598"/>
      <c r="G28" s="598"/>
      <c r="H28" s="598"/>
      <c r="I28" s="598"/>
      <c r="J28" s="598"/>
      <c r="K28" s="598"/>
      <c r="L28" s="598"/>
      <c r="M28" s="598"/>
      <c r="N28" s="598"/>
      <c r="O28" s="598"/>
      <c r="P28" s="598"/>
      <c r="Q28" s="598"/>
    </row>
    <row r="29" spans="1:22" ht="22.5" customHeight="1">
      <c r="A29" s="597"/>
      <c r="B29" s="598"/>
      <c r="C29" s="598"/>
      <c r="D29" s="598"/>
      <c r="E29" s="598"/>
      <c r="F29" s="598"/>
      <c r="G29" s="598"/>
      <c r="H29" s="598"/>
      <c r="I29" s="598"/>
      <c r="J29" s="598"/>
      <c r="K29" s="598"/>
      <c r="L29" s="598"/>
      <c r="M29" s="598"/>
      <c r="N29" s="598"/>
      <c r="O29" s="598"/>
      <c r="P29" s="598"/>
      <c r="Q29" s="598"/>
    </row>
    <row r="30" spans="1:22" ht="22.5" customHeight="1">
      <c r="A30" s="597"/>
      <c r="B30" s="598"/>
      <c r="C30" s="598"/>
      <c r="D30" s="598"/>
      <c r="E30" s="598"/>
      <c r="F30" s="598"/>
      <c r="G30" s="598"/>
      <c r="H30" s="598"/>
      <c r="I30" s="598"/>
      <c r="J30" s="598"/>
      <c r="K30" s="598"/>
      <c r="L30" s="598"/>
      <c r="M30" s="598"/>
      <c r="N30" s="598"/>
      <c r="O30" s="598"/>
      <c r="P30" s="598"/>
      <c r="Q30" s="598"/>
    </row>
    <row r="31" spans="1:22" ht="22.5" customHeight="1">
      <c r="A31" s="597"/>
      <c r="B31" s="598"/>
      <c r="C31" s="598"/>
      <c r="D31" s="598"/>
      <c r="E31" s="598"/>
      <c r="F31" s="598"/>
      <c r="G31" s="598"/>
      <c r="H31" s="598"/>
      <c r="I31" s="598"/>
      <c r="J31" s="598"/>
      <c r="K31" s="598"/>
      <c r="L31" s="598"/>
      <c r="M31" s="598"/>
      <c r="N31" s="598"/>
      <c r="O31" s="598"/>
      <c r="P31" s="598"/>
      <c r="Q31" s="598"/>
    </row>
    <row r="32" spans="1:22" ht="22.5" customHeight="1">
      <c r="A32" s="597"/>
      <c r="B32" s="598"/>
      <c r="C32" s="598"/>
      <c r="D32" s="598"/>
      <c r="E32" s="598"/>
      <c r="F32" s="598"/>
      <c r="G32" s="598"/>
      <c r="H32" s="598"/>
      <c r="I32" s="598"/>
      <c r="J32" s="598"/>
      <c r="K32" s="598"/>
      <c r="L32" s="598"/>
      <c r="M32" s="598"/>
      <c r="N32" s="598"/>
      <c r="O32" s="598"/>
      <c r="P32" s="598"/>
      <c r="Q32" s="598"/>
      <c r="R32"/>
    </row>
    <row r="33" spans="1:17" ht="22.5" customHeight="1">
      <c r="A33" s="597"/>
      <c r="B33" s="598"/>
      <c r="C33" s="598"/>
      <c r="D33" s="598"/>
      <c r="E33" s="598"/>
      <c r="F33" s="598"/>
      <c r="G33" s="598"/>
      <c r="H33" s="598"/>
      <c r="I33" s="598"/>
      <c r="J33" s="598"/>
      <c r="K33" s="598"/>
      <c r="L33" s="598"/>
      <c r="M33" s="598"/>
      <c r="N33" s="590"/>
      <c r="O33" s="598"/>
      <c r="P33" s="598"/>
      <c r="Q33" s="598"/>
    </row>
    <row r="34" spans="1:17" ht="17.25" customHeight="1">
      <c r="A34" s="597"/>
      <c r="B34" s="598"/>
      <c r="C34" s="598"/>
      <c r="D34" s="598"/>
      <c r="E34" s="598"/>
      <c r="F34" s="598"/>
      <c r="G34" s="598"/>
      <c r="H34" s="598"/>
      <c r="I34" s="598"/>
      <c r="J34" s="598"/>
      <c r="K34" s="598"/>
      <c r="L34" s="598"/>
      <c r="M34" s="598"/>
      <c r="N34" s="590"/>
      <c r="O34" s="599"/>
      <c r="P34" s="599"/>
      <c r="Q34" s="598"/>
    </row>
    <row r="35" spans="1:17" ht="16.5" customHeight="1">
      <c r="A35" s="597"/>
      <c r="B35" s="598"/>
      <c r="C35" s="598"/>
      <c r="D35" s="598"/>
      <c r="E35" s="598"/>
      <c r="F35" s="598"/>
      <c r="G35" s="598"/>
      <c r="H35" s="598"/>
      <c r="I35" s="598"/>
      <c r="J35" s="598"/>
      <c r="K35" s="598"/>
      <c r="L35" s="598"/>
      <c r="M35" s="598"/>
      <c r="N35" s="600"/>
      <c r="O35" s="598"/>
      <c r="P35" s="598"/>
      <c r="Q35" s="598"/>
    </row>
    <row r="36" spans="1:17" ht="15" customHeight="1">
      <c r="A36" s="597"/>
      <c r="B36" s="598"/>
      <c r="C36" s="598"/>
      <c r="D36" s="598"/>
      <c r="E36" s="598"/>
      <c r="F36" s="598"/>
      <c r="G36" s="598"/>
      <c r="H36" s="598"/>
      <c r="I36" s="598"/>
      <c r="J36" s="598"/>
      <c r="K36" s="598"/>
      <c r="L36" s="598"/>
      <c r="M36" s="598"/>
      <c r="N36" s="591"/>
      <c r="O36" s="591"/>
      <c r="P36" s="591"/>
      <c r="Q36" s="598"/>
    </row>
    <row r="37" spans="1:17">
      <c r="A37" s="597"/>
      <c r="B37" s="598"/>
      <c r="C37" s="598"/>
      <c r="D37" s="598"/>
      <c r="E37" s="598"/>
      <c r="F37" s="598"/>
      <c r="G37" s="598"/>
      <c r="H37" s="598"/>
      <c r="I37" s="598"/>
      <c r="J37" s="598"/>
      <c r="K37" s="598"/>
      <c r="L37" s="598"/>
      <c r="M37" s="598"/>
      <c r="N37" s="598"/>
      <c r="O37" s="598"/>
      <c r="P37" s="598"/>
      <c r="Q37" s="1207"/>
    </row>
    <row r="38" spans="1:17">
      <c r="A38" s="598"/>
      <c r="B38" s="598"/>
      <c r="C38" s="598"/>
      <c r="D38" s="598"/>
      <c r="E38" s="598"/>
      <c r="F38" s="598"/>
      <c r="G38" s="598"/>
      <c r="H38" s="598"/>
      <c r="I38" s="598"/>
      <c r="J38" s="598"/>
      <c r="K38" s="598"/>
      <c r="L38" s="598"/>
      <c r="M38" s="598"/>
      <c r="N38" s="598"/>
      <c r="O38" s="598"/>
      <c r="P38" s="598"/>
      <c r="Q38" s="1207"/>
    </row>
    <row r="39" spans="1:17">
      <c r="A39" s="598"/>
      <c r="B39" s="598"/>
      <c r="C39" s="598"/>
      <c r="D39" s="598"/>
      <c r="E39" s="598"/>
      <c r="F39" s="598"/>
      <c r="G39" s="598"/>
      <c r="H39" s="598"/>
      <c r="I39" s="598"/>
      <c r="J39" s="598"/>
      <c r="K39" s="598"/>
      <c r="L39" s="598"/>
      <c r="M39" s="598"/>
      <c r="N39" s="598"/>
      <c r="O39" s="598"/>
      <c r="P39" s="598"/>
      <c r="Q39" s="1207"/>
    </row>
    <row r="40" spans="1:17">
      <c r="A40" s="598"/>
      <c r="B40" s="598"/>
      <c r="C40" s="598"/>
      <c r="D40" s="598"/>
      <c r="E40" s="598"/>
      <c r="F40" s="598"/>
      <c r="G40" s="598"/>
      <c r="H40" s="598"/>
      <c r="I40" s="598"/>
      <c r="J40" s="598"/>
      <c r="K40" s="598"/>
      <c r="L40" s="598"/>
      <c r="M40" s="598"/>
      <c r="N40" s="598"/>
      <c r="O40" s="598"/>
      <c r="P40" s="598"/>
      <c r="Q40" s="1207"/>
    </row>
    <row r="41" spans="1:17">
      <c r="A41" s="598"/>
      <c r="B41" s="598"/>
      <c r="C41" s="598"/>
      <c r="D41" s="598"/>
      <c r="E41" s="598"/>
      <c r="F41" s="598"/>
      <c r="G41" s="598"/>
      <c r="H41" s="598"/>
      <c r="I41" s="598"/>
      <c r="J41" s="598"/>
      <c r="K41" s="598"/>
      <c r="L41" s="598"/>
      <c r="M41" s="598"/>
      <c r="N41" s="598"/>
      <c r="O41" s="598"/>
      <c r="P41" s="598"/>
      <c r="Q41" s="1207"/>
    </row>
  </sheetData>
  <sheetProtection algorithmName="SHA-512" hashValue="0/Nol7aNX81fdsEBI0kR21yrDQCS4buGI8Nbi0IxdpiMn/TOxWok0yNVoefSU0tlKUaEuQwiK9tOactTj3655A==" saltValue="G8GUt3MNyrqy8fQIdeDYTw==" spinCount="100000" sheet="1" objects="1" scenarios="1"/>
  <mergeCells count="9">
    <mergeCell ref="K25:L25"/>
    <mergeCell ref="A1:Q2"/>
    <mergeCell ref="B6:G7"/>
    <mergeCell ref="J6:L7"/>
    <mergeCell ref="A3:A4"/>
    <mergeCell ref="B5:F5"/>
    <mergeCell ref="N6:O7"/>
    <mergeCell ref="B3:F4"/>
    <mergeCell ref="N22:Q23"/>
  </mergeCells>
  <dataValidations count="1">
    <dataValidation allowBlank="1" showErrorMessage="1" prompt="Gælder også Pizzafredag..." sqref="B5" xr:uid="{B9B5C3E1-8243-49C6-B308-1B87536A42E4}"/>
  </dataValidations>
  <hyperlinks>
    <hyperlink ref="B5:D5" r:id="rId1" display="Copyright 2022 © Torben Kristensen" xr:uid="{EE733F3C-44DE-4D14-A214-1E10FD28319E}"/>
    <hyperlink ref="J25" r:id="rId2" xr:uid="{AA0DBFDE-FB9E-4A9B-8F1B-24F4F7F599D8}"/>
    <hyperlink ref="K25" r:id="rId3" xr:uid="{DD5444A7-F996-4FB8-A983-3B65201016BA}"/>
    <hyperlink ref="M25" r:id="rId4" xr:uid="{3914CC3E-B135-4DAD-AD49-F5C299727C42}"/>
    <hyperlink ref="O25" r:id="rId5" xr:uid="{56CED583-8D97-45F6-82D0-DA4CCFB6D721}"/>
    <hyperlink ref="P25" r:id="rId6" xr:uid="{A1FAB93B-DC2D-451F-B318-5B389D9D5349}"/>
    <hyperlink ref="A1:Q2" r:id="rId7" display="Er du glad for at bruge PizzaTool, så giv en kop kaffe ved at klikke her…" xr:uid="{3F2D3595-ACA5-4907-A2AD-AA81D20A0DB4}"/>
  </hyperlinks>
  <pageMargins left="0.7" right="0.7" top="0.75" bottom="0.75" header="0.3" footer="0.3"/>
  <pageSetup paperSize="9" orientation="portrait"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135D4-1E70-4383-84CC-743D7C75ADEF}">
  <sheetPr codeName="Ark1">
    <tabColor rgb="FFFFFFCC"/>
    <pageSetUpPr fitToPage="1"/>
  </sheetPr>
  <dimension ref="A1:AF78"/>
  <sheetViews>
    <sheetView showGridLines="0" showRowColHeaders="0" zoomScaleNormal="100" workbookViewId="0">
      <pane ySplit="4" topLeftCell="A5" activePane="bottomLeft" state="frozen"/>
      <selection activeCell="C2" sqref="C2:I3"/>
      <selection pane="bottomLeft" activeCell="E16" sqref="E16"/>
    </sheetView>
  </sheetViews>
  <sheetFormatPr defaultColWidth="0" defaultRowHeight="11.1" customHeight="1" zeroHeight="1"/>
  <cols>
    <col min="1" max="1" width="2.42578125" style="1246" customWidth="1"/>
    <col min="2" max="2" width="3.28515625" style="1246" customWidth="1"/>
    <col min="3" max="3" width="5.42578125" style="1246" customWidth="1"/>
    <col min="4" max="4" width="20.85546875" style="1246" customWidth="1"/>
    <col min="5" max="5" width="8" style="1246" customWidth="1"/>
    <col min="6" max="6" width="5.85546875" style="1246" customWidth="1"/>
    <col min="7" max="7" width="20.42578125" style="1246" customWidth="1"/>
    <col min="8" max="8" width="6" style="1246" customWidth="1"/>
    <col min="9" max="9" width="8.140625" style="1246" customWidth="1"/>
    <col min="10" max="10" width="7.85546875" style="1246" customWidth="1"/>
    <col min="11" max="11" width="4.42578125" style="1246" customWidth="1"/>
    <col min="12" max="12" width="9.5703125" style="1246" customWidth="1"/>
    <col min="13" max="13" width="24.5703125" style="1247" customWidth="1"/>
    <col min="14" max="14" width="3.28515625" style="1246" customWidth="1"/>
    <col min="15" max="15" width="3.42578125" style="1246" customWidth="1"/>
    <col min="16" max="17" width="4.28515625" style="1246" customWidth="1"/>
    <col min="18" max="18" width="8" style="1248" customWidth="1"/>
    <col min="19" max="19" width="19.85546875" style="1249" customWidth="1"/>
    <col min="20" max="20" width="8.140625" style="1246" customWidth="1"/>
    <col min="21" max="21" width="4.42578125" style="1246" customWidth="1"/>
    <col min="22" max="22" width="4.28515625" style="1246" customWidth="1"/>
    <col min="23" max="23" width="30" style="1246" hidden="1" customWidth="1"/>
    <col min="24" max="24" width="27.140625" style="1246" hidden="1" customWidth="1"/>
    <col min="25" max="25" width="9.140625" style="1246" hidden="1" customWidth="1"/>
    <col min="26" max="26" width="9.85546875" style="1246" hidden="1" customWidth="1"/>
    <col min="27" max="27" width="69.85546875" style="1246" hidden="1" customWidth="1"/>
    <col min="28" max="28" width="58.140625" style="1246" hidden="1" customWidth="1"/>
    <col min="29" max="29" width="68.28515625" style="1246" hidden="1" customWidth="1"/>
    <col min="30" max="30" width="77" style="1246" hidden="1" customWidth="1"/>
    <col min="31" max="31" width="42.7109375" style="1246" hidden="1" customWidth="1"/>
    <col min="32" max="32" width="32" style="1246" hidden="1" customWidth="1"/>
    <col min="33" max="16384" width="9.140625" style="1246" hidden="1"/>
  </cols>
  <sheetData>
    <row r="1" spans="1:32" customFormat="1" ht="15" customHeight="1">
      <c r="A1" s="217"/>
      <c r="B1" s="217"/>
      <c r="C1" s="217"/>
      <c r="D1" s="218"/>
      <c r="E1" s="218"/>
      <c r="F1" s="218"/>
      <c r="G1" s="218"/>
      <c r="H1" s="218"/>
      <c r="I1" s="1906" t="s">
        <v>1250</v>
      </c>
      <c r="J1" s="1906"/>
      <c r="K1" s="1906"/>
      <c r="L1" s="1906"/>
      <c r="M1" s="1906"/>
      <c r="N1" s="217"/>
      <c r="O1" s="217"/>
      <c r="P1" s="217"/>
      <c r="Q1" s="217"/>
      <c r="R1" s="258"/>
      <c r="S1" s="220"/>
      <c r="T1" s="217"/>
      <c r="U1" s="217"/>
      <c r="V1" s="217"/>
    </row>
    <row r="2" spans="1:32" customFormat="1" ht="15" customHeight="1">
      <c r="A2" s="217"/>
      <c r="B2" s="217"/>
      <c r="C2" s="217"/>
      <c r="D2" s="1909" t="s">
        <v>314</v>
      </c>
      <c r="E2" s="1909"/>
      <c r="F2" s="1909"/>
      <c r="G2" s="1909"/>
      <c r="H2" s="1909"/>
      <c r="I2" s="1906"/>
      <c r="J2" s="1906"/>
      <c r="K2" s="1906"/>
      <c r="L2" s="1906"/>
      <c r="M2" s="1906"/>
      <c r="N2" s="217"/>
      <c r="O2" s="217"/>
      <c r="P2" s="217"/>
      <c r="Q2" s="217"/>
      <c r="R2" s="258"/>
      <c r="S2" s="220"/>
      <c r="T2" s="217"/>
      <c r="U2" s="217"/>
      <c r="V2" s="217"/>
    </row>
    <row r="3" spans="1:32" customFormat="1" ht="15" customHeight="1">
      <c r="A3" s="217"/>
      <c r="B3" s="217"/>
      <c r="C3" s="217"/>
      <c r="D3" s="1909"/>
      <c r="E3" s="1909"/>
      <c r="F3" s="1909"/>
      <c r="G3" s="1909"/>
      <c r="H3" s="1909"/>
      <c r="I3" s="1906"/>
      <c r="J3" s="1906"/>
      <c r="K3" s="1906"/>
      <c r="L3" s="1906"/>
      <c r="M3" s="1906"/>
      <c r="N3" s="217"/>
      <c r="O3" s="217"/>
      <c r="P3" s="217"/>
      <c r="Q3" s="217"/>
      <c r="R3" s="258"/>
      <c r="S3" s="220"/>
      <c r="T3" s="217"/>
      <c r="U3" s="217"/>
      <c r="V3" s="217"/>
    </row>
    <row r="4" spans="1:32" customFormat="1" ht="15" customHeight="1" thickBot="1">
      <c r="A4" s="253"/>
      <c r="B4" s="253"/>
      <c r="C4" s="253"/>
      <c r="D4" s="346" t="s">
        <v>371</v>
      </c>
      <c r="E4" s="254"/>
      <c r="F4" s="254"/>
      <c r="G4" s="254"/>
      <c r="H4" s="254"/>
      <c r="I4" s="1907"/>
      <c r="J4" s="1907"/>
      <c r="K4" s="1907"/>
      <c r="L4" s="1907"/>
      <c r="M4" s="1907"/>
      <c r="N4" s="253"/>
      <c r="O4" s="253"/>
      <c r="P4" s="253"/>
      <c r="Q4" s="253"/>
      <c r="R4" s="256"/>
      <c r="S4" s="257"/>
      <c r="T4" s="253"/>
      <c r="U4" s="253"/>
      <c r="V4" s="253"/>
    </row>
    <row r="5" spans="1:32" customFormat="1" ht="14.45" customHeight="1" thickTop="1">
      <c r="A5" s="89"/>
      <c r="B5" s="89"/>
      <c r="C5" s="89"/>
      <c r="D5" s="125"/>
      <c r="E5" s="126"/>
      <c r="F5" s="127"/>
      <c r="G5" s="128"/>
      <c r="H5" s="128"/>
      <c r="I5" s="129"/>
      <c r="J5" s="89"/>
      <c r="K5" s="89"/>
      <c r="L5" s="89"/>
      <c r="M5" s="90"/>
      <c r="N5" s="89"/>
      <c r="O5" s="178"/>
      <c r="P5" s="89"/>
      <c r="Q5" s="89"/>
      <c r="R5" s="134"/>
      <c r="S5" s="93"/>
      <c r="T5" s="89"/>
      <c r="U5" s="89"/>
      <c r="V5" s="89"/>
      <c r="AF5" s="67"/>
    </row>
    <row r="6" spans="1:32" customFormat="1" ht="11.25" customHeight="1">
      <c r="A6" s="89"/>
      <c r="B6" s="1892" t="s">
        <v>757</v>
      </c>
      <c r="C6" s="1893"/>
      <c r="D6" s="1904"/>
      <c r="E6" s="1904"/>
      <c r="F6" s="828"/>
      <c r="G6" s="829"/>
      <c r="H6" s="1908"/>
      <c r="I6" s="1908"/>
      <c r="J6" s="830"/>
      <c r="K6" s="830"/>
      <c r="L6" s="830"/>
      <c r="M6" s="831"/>
      <c r="N6" s="276"/>
      <c r="O6" s="178"/>
      <c r="P6" s="96"/>
      <c r="Q6" s="96"/>
      <c r="R6" s="132"/>
      <c r="S6" s="96"/>
      <c r="T6" s="96"/>
      <c r="U6" s="96"/>
      <c r="V6" s="89"/>
    </row>
    <row r="7" spans="1:32" customFormat="1" ht="14.45" customHeight="1">
      <c r="A7" s="89"/>
      <c r="B7" s="1894"/>
      <c r="C7" s="1895"/>
      <c r="D7" s="1884"/>
      <c r="E7" s="1884"/>
      <c r="F7" s="130"/>
      <c r="G7" s="102"/>
      <c r="H7" s="1883"/>
      <c r="I7" s="1883"/>
      <c r="J7" s="98"/>
      <c r="K7" s="98"/>
      <c r="L7" s="976">
        <f>HLOOKUP(G15,X7:Z13,2,FALSE)</f>
        <v>0.64516129032258063</v>
      </c>
      <c r="M7" s="977" t="s">
        <v>377</v>
      </c>
      <c r="N7" s="151"/>
      <c r="O7" s="178"/>
      <c r="P7" s="138"/>
      <c r="Q7" s="89"/>
      <c r="R7" s="955"/>
      <c r="S7" s="956"/>
      <c r="T7" s="89"/>
      <c r="U7" s="138"/>
      <c r="V7" s="89"/>
      <c r="W7" s="45" t="s">
        <v>528</v>
      </c>
      <c r="X7" s="765" t="s">
        <v>199</v>
      </c>
      <c r="Y7" s="765" t="s">
        <v>220</v>
      </c>
      <c r="Z7" s="765" t="s">
        <v>227</v>
      </c>
      <c r="AA7" s="764"/>
    </row>
    <row r="8" spans="1:32" customFormat="1" ht="14.45" customHeight="1">
      <c r="A8" s="89"/>
      <c r="B8" s="1894"/>
      <c r="C8" s="1895"/>
      <c r="D8" s="1884"/>
      <c r="E8" s="1884"/>
      <c r="F8" s="130"/>
      <c r="G8" s="102"/>
      <c r="H8" s="1883"/>
      <c r="I8" s="1883"/>
      <c r="J8" s="98"/>
      <c r="K8" s="98"/>
      <c r="L8" s="978">
        <f>HLOOKUP(G15,X7:Z13,3,FALSE)</f>
        <v>2.5999999999999999E-2</v>
      </c>
      <c r="M8" s="977" t="s">
        <v>375</v>
      </c>
      <c r="N8" s="151"/>
      <c r="O8" s="178"/>
      <c r="P8" s="89"/>
      <c r="Q8" s="96"/>
      <c r="R8" s="96"/>
      <c r="S8" s="96"/>
      <c r="T8" s="96"/>
      <c r="U8" s="89"/>
      <c r="V8" s="89"/>
      <c r="W8" s="766" t="s">
        <v>377</v>
      </c>
      <c r="X8" s="768">
        <v>0.64516129032258063</v>
      </c>
      <c r="Y8" s="768">
        <v>0.7</v>
      </c>
      <c r="Z8" s="767">
        <v>0.7</v>
      </c>
      <c r="AA8" s="193"/>
    </row>
    <row r="9" spans="1:32" customFormat="1" ht="14.45" customHeight="1">
      <c r="A9" s="89"/>
      <c r="B9" s="1894"/>
      <c r="C9" s="1895"/>
      <c r="D9" s="1884"/>
      <c r="E9" s="1884"/>
      <c r="F9" s="130"/>
      <c r="G9" s="102"/>
      <c r="H9" s="1883"/>
      <c r="I9" s="1883"/>
      <c r="J9" s="98"/>
      <c r="K9" s="98"/>
      <c r="L9" s="978">
        <f>HLOOKUP(G15,X7:Z13,4,FALSE)</f>
        <v>3.2258064516129032E-3</v>
      </c>
      <c r="M9" s="977" t="s">
        <v>385</v>
      </c>
      <c r="N9" s="151"/>
      <c r="O9" s="178"/>
      <c r="P9" s="89"/>
      <c r="Q9" s="89"/>
      <c r="R9" s="96"/>
      <c r="S9" s="96"/>
      <c r="T9" s="90"/>
      <c r="U9" s="89"/>
      <c r="V9" s="89"/>
      <c r="W9" s="766" t="s">
        <v>375</v>
      </c>
      <c r="X9" s="768">
        <v>2.5999999999999999E-2</v>
      </c>
      <c r="Y9" s="768">
        <v>2.5000000000000001E-2</v>
      </c>
      <c r="Z9" s="767">
        <v>2.5000000000000001E-2</v>
      </c>
      <c r="AA9" s="193"/>
    </row>
    <row r="10" spans="1:32" customFormat="1" ht="14.45" customHeight="1">
      <c r="A10" s="89"/>
      <c r="B10" s="1894"/>
      <c r="C10" s="1895"/>
      <c r="D10" s="1884"/>
      <c r="E10" s="1884"/>
      <c r="F10" s="130"/>
      <c r="G10" s="102"/>
      <c r="H10" s="1883"/>
      <c r="I10" s="1883"/>
      <c r="J10" s="98"/>
      <c r="K10" s="98"/>
      <c r="L10" s="978">
        <f>HLOOKUP(G15,X7:Z13,5,FALSE)</f>
        <v>0</v>
      </c>
      <c r="M10" s="977" t="s">
        <v>524</v>
      </c>
      <c r="N10" s="151"/>
      <c r="O10" s="178"/>
      <c r="P10" s="89"/>
      <c r="Q10" s="96"/>
      <c r="R10" s="96"/>
      <c r="S10" s="96"/>
      <c r="T10" s="96"/>
      <c r="U10" s="89"/>
      <c r="V10" s="89"/>
      <c r="W10" s="766" t="s">
        <v>385</v>
      </c>
      <c r="X10" s="768">
        <v>3.2258064516129032E-3</v>
      </c>
      <c r="Y10" s="768">
        <v>1.25E-3</v>
      </c>
      <c r="Z10" s="767">
        <v>3.3300000000000001E-3</v>
      </c>
      <c r="AA10" s="193"/>
    </row>
    <row r="11" spans="1:32" customFormat="1" ht="15.75" customHeight="1">
      <c r="A11" s="89"/>
      <c r="B11" s="1894"/>
      <c r="C11" s="1895"/>
      <c r="D11" s="1884"/>
      <c r="E11" s="1884"/>
      <c r="F11" s="130"/>
      <c r="G11" s="102"/>
      <c r="H11" s="1883"/>
      <c r="I11" s="1883"/>
      <c r="J11" s="98"/>
      <c r="K11" s="98"/>
      <c r="L11" s="978">
        <f>HLOOKUP(G15,X7:Z13,6,FALSE)</f>
        <v>3.2258064516129032E-3</v>
      </c>
      <c r="M11" s="977" t="s">
        <v>487</v>
      </c>
      <c r="N11" s="151"/>
      <c r="O11" s="178"/>
      <c r="P11" s="89"/>
      <c r="Q11" s="89"/>
      <c r="R11" s="92"/>
      <c r="S11" s="951"/>
      <c r="T11" s="90"/>
      <c r="U11" s="89"/>
      <c r="V11" s="89"/>
      <c r="W11" s="766" t="s">
        <v>524</v>
      </c>
      <c r="X11" s="768">
        <v>0</v>
      </c>
      <c r="Y11" s="768">
        <v>0.01</v>
      </c>
      <c r="Z11" s="767">
        <v>4.2000000000000006E-3</v>
      </c>
      <c r="AA11" s="193"/>
    </row>
    <row r="12" spans="1:32" customFormat="1" ht="16.5" customHeight="1">
      <c r="A12" s="89"/>
      <c r="B12" s="1896"/>
      <c r="C12" s="1897"/>
      <c r="D12" s="967" t="s">
        <v>199</v>
      </c>
      <c r="E12" s="968"/>
      <c r="F12" s="969" t="s">
        <v>220</v>
      </c>
      <c r="G12" s="969"/>
      <c r="H12" s="969"/>
      <c r="I12" s="970" t="s">
        <v>227</v>
      </c>
      <c r="J12" s="971"/>
      <c r="K12" s="971"/>
      <c r="L12" s="979">
        <f>HLOOKUP(G15,X7:Z13,7,FALSE)</f>
        <v>0.19354838709677419</v>
      </c>
      <c r="M12" s="980" t="s">
        <v>702</v>
      </c>
      <c r="N12" s="154"/>
      <c r="O12" s="178"/>
      <c r="P12" s="89"/>
      <c r="Q12" s="96"/>
      <c r="R12" s="96"/>
      <c r="S12" s="96"/>
      <c r="T12" s="96"/>
      <c r="U12" s="89"/>
      <c r="V12" s="89"/>
      <c r="W12" s="766" t="s">
        <v>487</v>
      </c>
      <c r="X12" s="768">
        <v>3.2258064516129032E-3</v>
      </c>
      <c r="Y12" s="768">
        <v>5.0000000000000001E-3</v>
      </c>
      <c r="Z12" s="767">
        <v>5.0000000000000001E-3</v>
      </c>
      <c r="AA12" s="193"/>
    </row>
    <row r="13" spans="1:32" customFormat="1" ht="15" customHeight="1">
      <c r="A13" s="89"/>
      <c r="B13" s="89"/>
      <c r="C13" s="89"/>
      <c r="D13" s="960"/>
      <c r="E13" s="89"/>
      <c r="F13" s="89"/>
      <c r="G13" s="89"/>
      <c r="H13" s="961"/>
      <c r="I13" s="89"/>
      <c r="J13" s="89"/>
      <c r="K13" s="89"/>
      <c r="L13" s="89"/>
      <c r="M13" s="90"/>
      <c r="N13" s="89"/>
      <c r="O13" s="178"/>
      <c r="P13" s="89"/>
      <c r="Q13" s="89"/>
      <c r="R13" s="92"/>
      <c r="S13" s="951" t="s">
        <v>194</v>
      </c>
      <c r="T13" s="90"/>
      <c r="U13" s="89"/>
      <c r="V13" s="89"/>
      <c r="W13" s="766" t="s">
        <v>703</v>
      </c>
      <c r="X13" s="768">
        <v>0.19354838709677419</v>
      </c>
      <c r="Y13" s="768">
        <f>300/1000</f>
        <v>0.3</v>
      </c>
      <c r="Z13" s="767">
        <v>0.3</v>
      </c>
      <c r="AA13" s="193"/>
    </row>
    <row r="14" spans="1:32" s="88" customFormat="1" ht="19.5" thickBot="1">
      <c r="A14" s="92"/>
      <c r="B14" s="139"/>
      <c r="C14" s="952"/>
      <c r="D14" s="953"/>
      <c r="E14" s="187"/>
      <c r="F14" s="131"/>
      <c r="G14" s="1097" t="s">
        <v>917</v>
      </c>
      <c r="H14" s="114"/>
      <c r="I14" s="930"/>
      <c r="J14" s="1782" t="s">
        <v>1278</v>
      </c>
      <c r="K14" s="930"/>
      <c r="L14" s="954" t="s">
        <v>745</v>
      </c>
      <c r="M14" s="930"/>
      <c r="N14" s="139"/>
      <c r="O14" s="188"/>
      <c r="P14" s="89"/>
      <c r="Q14" s="89"/>
      <c r="R14" s="92"/>
      <c r="S14" s="951"/>
      <c r="T14" s="90"/>
      <c r="U14" s="89"/>
      <c r="V14" s="92"/>
      <c r="W14" s="140"/>
    </row>
    <row r="15" spans="1:32" customFormat="1" ht="17.25" thickTop="1" thickBot="1">
      <c r="A15" s="89"/>
      <c r="B15" s="89"/>
      <c r="C15" s="1312" t="s">
        <v>8</v>
      </c>
      <c r="D15" s="113" t="s">
        <v>1021</v>
      </c>
      <c r="E15" s="1098">
        <v>6</v>
      </c>
      <c r="F15" s="103"/>
      <c r="G15" s="1888" t="s">
        <v>199</v>
      </c>
      <c r="H15" s="1889"/>
      <c r="I15" s="957"/>
      <c r="J15" s="1780">
        <f>L7</f>
        <v>0.64516129032258063</v>
      </c>
      <c r="K15" s="96"/>
      <c r="L15" s="1100"/>
      <c r="M15" s="206" t="s">
        <v>1026</v>
      </c>
      <c r="N15" s="89"/>
      <c r="O15" s="178"/>
      <c r="P15" s="89"/>
      <c r="Q15" s="138"/>
      <c r="R15" s="134"/>
      <c r="S15" s="93"/>
      <c r="T15" s="89"/>
      <c r="U15" s="138"/>
      <c r="V15" s="89"/>
      <c r="W15" s="351" t="s">
        <v>418</v>
      </c>
      <c r="X15" s="281"/>
      <c r="AA15" s="43" t="s">
        <v>231</v>
      </c>
      <c r="AB15" s="53" t="s">
        <v>232</v>
      </c>
      <c r="AC15" s="50" t="s">
        <v>240</v>
      </c>
    </row>
    <row r="16" spans="1:32" s="105" customFormat="1" ht="16.5" thickTop="1">
      <c r="A16" s="103"/>
      <c r="B16" s="103"/>
      <c r="C16" s="1312" t="s">
        <v>9</v>
      </c>
      <c r="D16" s="1296"/>
      <c r="E16" s="1099">
        <v>270</v>
      </c>
      <c r="F16" s="103"/>
      <c r="G16" s="1791" t="str">
        <f>VLOOKUP(G15,AA16:AC18,2,FALSE)</f>
        <v>Tilberedningstid  21-29 timer</v>
      </c>
      <c r="H16" s="103"/>
      <c r="I16" s="957"/>
      <c r="J16" s="1781">
        <f>L8</f>
        <v>2.5999999999999999E-2</v>
      </c>
      <c r="K16" s="96"/>
      <c r="L16" s="1101"/>
      <c r="M16" s="206" t="s">
        <v>375</v>
      </c>
      <c r="N16" s="103"/>
      <c r="O16" s="203"/>
      <c r="P16" s="103"/>
      <c r="Q16" s="138"/>
      <c r="R16" s="103"/>
      <c r="S16" s="103"/>
      <c r="T16" s="103"/>
      <c r="U16" s="103"/>
      <c r="V16" s="103"/>
      <c r="W16" s="946">
        <f>IF(L15="",L7,L15)</f>
        <v>0.64516129032258063</v>
      </c>
      <c r="X16" s="947" t="str">
        <f>M15</f>
        <v>hydrering</v>
      </c>
      <c r="AA16" s="948" t="s">
        <v>199</v>
      </c>
      <c r="AB16" s="949" t="s">
        <v>1056</v>
      </c>
      <c r="AC16" s="950" t="s">
        <v>244</v>
      </c>
    </row>
    <row r="17" spans="1:32" customFormat="1" ht="15.75">
      <c r="A17" s="89"/>
      <c r="B17" s="89"/>
      <c r="C17" s="1905" t="s">
        <v>10</v>
      </c>
      <c r="D17" s="1905"/>
      <c r="E17" s="1885">
        <f>E15*E16</f>
        <v>1620</v>
      </c>
      <c r="F17" s="103"/>
      <c r="G17" s="1790"/>
      <c r="H17" s="1790"/>
      <c r="I17" s="958"/>
      <c r="J17" s="1783">
        <f>L9</f>
        <v>3.2258064516129032E-3</v>
      </c>
      <c r="K17" s="951"/>
      <c r="L17" s="1101"/>
      <c r="M17" s="972" t="s">
        <v>385</v>
      </c>
      <c r="N17" s="1879">
        <f>IF(M17&lt;&gt;"tørgær",W18,IF(L17="",L9,""))</f>
        <v>3.2258064516129032E-3</v>
      </c>
      <c r="O17" s="1880"/>
      <c r="P17" s="89"/>
      <c r="Q17" s="138"/>
      <c r="R17" s="134"/>
      <c r="S17" s="93"/>
      <c r="T17" s="89"/>
      <c r="U17" s="89"/>
      <c r="V17" s="89"/>
      <c r="W17" s="284">
        <f>IF(L16="",L8,L16)</f>
        <v>2.5999999999999999E-2</v>
      </c>
      <c r="X17" s="285" t="str">
        <f>M16</f>
        <v>salt</v>
      </c>
      <c r="AA17" s="51" t="s">
        <v>220</v>
      </c>
      <c r="AB17" s="52" t="s">
        <v>1057</v>
      </c>
      <c r="AC17" s="54" t="s">
        <v>259</v>
      </c>
    </row>
    <row r="18" spans="1:32" s="105" customFormat="1" ht="15.75">
      <c r="A18" s="89"/>
      <c r="B18" s="89"/>
      <c r="C18" s="1905"/>
      <c r="D18" s="1905"/>
      <c r="E18" s="1886"/>
      <c r="F18" s="103"/>
      <c r="G18" s="135" t="s">
        <v>394</v>
      </c>
      <c r="H18" s="928"/>
      <c r="I18" s="959"/>
      <c r="J18" s="1781">
        <f>L10</f>
        <v>0</v>
      </c>
      <c r="K18" s="96"/>
      <c r="L18" s="1101"/>
      <c r="M18" s="275" t="s">
        <v>524</v>
      </c>
      <c r="N18" s="103"/>
      <c r="O18" s="203"/>
      <c r="P18" s="103"/>
      <c r="Q18" s="138"/>
      <c r="R18" s="103"/>
      <c r="S18" s="103"/>
      <c r="T18" s="103"/>
      <c r="U18" s="103"/>
      <c r="V18" s="103"/>
      <c r="W18" s="942">
        <f>IF(M17="tør gær",IF(L17="",L9,L17),IF(L17="",L9,L17)*Z59)</f>
        <v>3.2258064516129032E-3</v>
      </c>
      <c r="X18" s="943" t="str">
        <f>Y59</f>
        <v>tørgær</v>
      </c>
      <c r="AA18" s="944" t="s">
        <v>229</v>
      </c>
      <c r="AB18" s="423" t="s">
        <v>1058</v>
      </c>
      <c r="AC18" s="945" t="s">
        <v>323</v>
      </c>
    </row>
    <row r="19" spans="1:32" customFormat="1" ht="15.75">
      <c r="A19" s="89"/>
      <c r="B19" s="89"/>
      <c r="C19" s="112"/>
      <c r="D19" s="112"/>
      <c r="E19" s="360"/>
      <c r="F19" s="103"/>
      <c r="G19" s="1888" t="s">
        <v>187</v>
      </c>
      <c r="H19" s="1889"/>
      <c r="I19" s="959"/>
      <c r="J19" s="1781">
        <f>L11</f>
        <v>3.2258064516129032E-3</v>
      </c>
      <c r="K19" s="951" t="s">
        <v>194</v>
      </c>
      <c r="L19" s="1102"/>
      <c r="M19" s="275" t="s">
        <v>487</v>
      </c>
      <c r="N19" s="89"/>
      <c r="O19" s="178"/>
      <c r="P19" s="89"/>
      <c r="Q19" s="138"/>
      <c r="R19" s="134"/>
      <c r="S19" s="93"/>
      <c r="T19" s="89"/>
      <c r="U19" s="89"/>
      <c r="V19" s="89"/>
      <c r="W19" s="284">
        <f>IF(L18="",L10,L18)</f>
        <v>0</v>
      </c>
      <c r="X19" s="286" t="s">
        <v>524</v>
      </c>
    </row>
    <row r="20" spans="1:32" customFormat="1" ht="15.75">
      <c r="A20" s="89"/>
      <c r="B20" s="89"/>
      <c r="C20" s="112"/>
      <c r="D20" s="1790"/>
      <c r="E20" s="360"/>
      <c r="F20" s="103"/>
      <c r="G20" s="929"/>
      <c r="H20" s="929"/>
      <c r="I20" s="929"/>
      <c r="J20" s="929"/>
      <c r="K20" s="929"/>
      <c r="L20" s="133"/>
      <c r="M20" s="133"/>
      <c r="N20" s="89"/>
      <c r="O20" s="178"/>
      <c r="P20" s="157"/>
      <c r="Q20" s="138"/>
      <c r="R20" s="134"/>
      <c r="S20" s="93"/>
      <c r="T20" s="89"/>
      <c r="U20" s="89"/>
      <c r="V20" s="89"/>
      <c r="W20" s="284">
        <f>IF(L19="",L11,L19)</f>
        <v>3.2258064516129032E-3</v>
      </c>
      <c r="X20" s="286" t="str">
        <f>M19</f>
        <v>honning</v>
      </c>
    </row>
    <row r="21" spans="1:32" customFormat="1" ht="15">
      <c r="A21" s="89"/>
      <c r="B21" s="89"/>
      <c r="C21" s="89"/>
      <c r="D21" s="89"/>
      <c r="E21" s="89"/>
      <c r="F21" s="89"/>
      <c r="G21" s="89"/>
      <c r="H21" s="89"/>
      <c r="I21" s="89"/>
      <c r="J21" s="89"/>
      <c r="K21" s="89"/>
      <c r="L21" s="89"/>
      <c r="M21" s="89"/>
      <c r="N21" s="89"/>
      <c r="O21" s="178"/>
      <c r="P21" s="157"/>
      <c r="Q21" s="89"/>
      <c r="R21" s="134"/>
      <c r="S21" s="93"/>
      <c r="T21" s="89"/>
      <c r="U21" s="89"/>
      <c r="V21" s="89"/>
      <c r="W21" s="67"/>
      <c r="X21" s="67"/>
    </row>
    <row r="22" spans="1:32" customFormat="1" ht="15" customHeight="1">
      <c r="A22" s="89"/>
      <c r="B22" s="5"/>
      <c r="C22" s="1887" t="str">
        <f>"Vito's "&amp;G15&amp;" pizza"</f>
        <v>Vito's Poolish pizza</v>
      </c>
      <c r="D22" s="1887"/>
      <c r="E22" s="1887"/>
      <c r="F22" s="1887"/>
      <c r="G22" s="1887"/>
      <c r="H22" s="1887"/>
      <c r="I22" s="982"/>
      <c r="J22" s="982"/>
      <c r="K22" s="982"/>
      <c r="L22" s="903"/>
      <c r="M22" s="11"/>
      <c r="N22" s="5"/>
      <c r="O22" s="178"/>
      <c r="P22" s="158"/>
      <c r="Q22" s="149"/>
      <c r="R22" s="349"/>
      <c r="S22" s="350"/>
      <c r="T22" s="326"/>
      <c r="U22" s="276"/>
      <c r="V22" s="89"/>
    </row>
    <row r="23" spans="1:32" customFormat="1" ht="15.75">
      <c r="A23" s="89"/>
      <c r="B23" s="5"/>
      <c r="C23" s="1887"/>
      <c r="D23" s="1887"/>
      <c r="E23" s="1887"/>
      <c r="F23" s="1887"/>
      <c r="G23" s="1887"/>
      <c r="H23" s="1887"/>
      <c r="I23" s="1246"/>
      <c r="J23" s="1246"/>
      <c r="K23" s="1246"/>
      <c r="L23" s="1246"/>
      <c r="M23" s="1247"/>
      <c r="O23" s="178"/>
      <c r="P23" s="158"/>
      <c r="Q23" s="150"/>
      <c r="R23" s="184" t="s">
        <v>355</v>
      </c>
      <c r="S23" s="183"/>
      <c r="T23" s="138"/>
      <c r="U23" s="151"/>
      <c r="V23" s="89"/>
      <c r="W23" s="72" t="s">
        <v>223</v>
      </c>
      <c r="X23" s="73" t="str">
        <f>G15</f>
        <v>Poolish</v>
      </c>
      <c r="Y23" s="74"/>
      <c r="Z23" s="49"/>
      <c r="AA23" s="63" t="s">
        <v>222</v>
      </c>
      <c r="AB23" s="64" t="s">
        <v>242</v>
      </c>
      <c r="AC23" s="63" t="s">
        <v>228</v>
      </c>
      <c r="AD23" s="59" t="s">
        <v>222</v>
      </c>
      <c r="AE23" s="60" t="s">
        <v>220</v>
      </c>
      <c r="AF23" s="59" t="s">
        <v>228</v>
      </c>
    </row>
    <row r="24" spans="1:32" customFormat="1" ht="15">
      <c r="A24" s="89"/>
      <c r="B24" s="5"/>
      <c r="C24" s="1887"/>
      <c r="D24" s="1887"/>
      <c r="E24" s="1887"/>
      <c r="F24" s="1887"/>
      <c r="G24" s="1887"/>
      <c r="H24" s="1887"/>
      <c r="I24" s="983"/>
      <c r="J24" s="983"/>
      <c r="K24" s="983"/>
      <c r="M24" s="1"/>
      <c r="O24" s="178"/>
      <c r="P24" s="89"/>
      <c r="Q24" s="150"/>
      <c r="R24" s="134" t="s">
        <v>353</v>
      </c>
      <c r="S24" s="97"/>
      <c r="T24" s="89"/>
      <c r="U24" s="151"/>
      <c r="V24" s="89"/>
      <c r="W24" s="75" t="s">
        <v>188</v>
      </c>
      <c r="X24" s="76" t="s">
        <v>187</v>
      </c>
      <c r="Y24" s="22"/>
      <c r="Z24" s="70"/>
      <c r="AA24" s="65" t="s">
        <v>188</v>
      </c>
      <c r="AB24" s="66" t="s">
        <v>188</v>
      </c>
      <c r="AC24" s="65" t="s">
        <v>188</v>
      </c>
      <c r="AD24" s="61" t="s">
        <v>187</v>
      </c>
      <c r="AE24" s="62" t="s">
        <v>187</v>
      </c>
      <c r="AF24" s="62" t="s">
        <v>187</v>
      </c>
    </row>
    <row r="25" spans="1:32" customFormat="1" ht="15.75" customHeight="1">
      <c r="A25" s="89"/>
      <c r="B25" s="5"/>
      <c r="C25" s="1527" t="s">
        <v>746</v>
      </c>
      <c r="D25" s="401" t="str">
        <f>IF(AND(L17="",G15="Poolish"),"Vito bruger megen tørgær!  Du kan sagtens reducere til 0,2%",IF(M17="Tørgær","Tørgær arbejder bedst i poolish når vandet er 25-27°.","Frisk gær kan opløses i koldt eller lunkent vand."))</f>
        <v>Vito bruger megen tørgær!  Du kan sagtens reducere til 0,2%</v>
      </c>
      <c r="H25" s="1901" t="str">
        <f>VLOOKUP(G15,AA16:AC18,2,FALSE)</f>
        <v>Tilberedningstid  21-29 timer</v>
      </c>
      <c r="I25" s="1902"/>
      <c r="J25" s="1902"/>
      <c r="K25" s="1902"/>
      <c r="L25" s="1902"/>
      <c r="M25" s="1903"/>
      <c r="O25" s="178"/>
      <c r="P25" s="157"/>
      <c r="Q25" s="150"/>
      <c r="R25" s="134" t="s">
        <v>357</v>
      </c>
      <c r="S25" s="97"/>
      <c r="T25" s="89"/>
      <c r="U25" s="151"/>
      <c r="V25" s="89"/>
      <c r="W25" s="68"/>
      <c r="X25" s="77"/>
      <c r="Y25" s="22"/>
      <c r="Z25" s="70"/>
      <c r="AA25" s="44"/>
      <c r="AB25" s="44"/>
      <c r="AC25" s="44"/>
      <c r="AD25" s="56"/>
      <c r="AE25" s="45"/>
      <c r="AF25" s="45"/>
    </row>
    <row r="26" spans="1:32" customFormat="1" ht="15.75">
      <c r="A26" s="89"/>
      <c r="B26" s="5"/>
      <c r="C26" s="1527" t="s">
        <v>746</v>
      </c>
      <c r="D26" s="37" t="s">
        <v>817</v>
      </c>
      <c r="H26" s="1898" t="str">
        <f>E15&amp;" pizzaer a "&amp;ROUND(E16,0)&amp;" g.  -   "&amp;ROUND(W16*100,0)&amp;"% hydrering"</f>
        <v>6 pizzaer a 270 g.  -   65% hydrering</v>
      </c>
      <c r="I26" s="1899"/>
      <c r="J26" s="1899"/>
      <c r="K26" s="1899"/>
      <c r="L26" s="1899"/>
      <c r="M26" s="1900"/>
      <c r="O26" s="178"/>
      <c r="P26" s="157"/>
      <c r="Q26" s="150"/>
      <c r="R26" s="134" t="s">
        <v>359</v>
      </c>
      <c r="S26" s="89"/>
      <c r="T26" s="89"/>
      <c r="U26" s="151"/>
      <c r="V26" s="89"/>
      <c r="W26" s="78" t="str">
        <f>HLOOKUP($G$15,$AA$23:$AC$52,4,FALSE)</f>
        <v>Gær og honning røres ud i vandet.</v>
      </c>
      <c r="X26" s="67" t="str">
        <f>HLOOKUP($G$15,$AD$23:$AF$52,4,FALSE)</f>
        <v>Rør gær og honning ud i vandet.</v>
      </c>
      <c r="Z26" s="45"/>
      <c r="AA26" s="44" t="s">
        <v>1</v>
      </c>
      <c r="AB26" s="44" t="s">
        <v>1</v>
      </c>
      <c r="AC26" s="44" t="s">
        <v>1</v>
      </c>
      <c r="AD26" s="56" t="s">
        <v>189</v>
      </c>
      <c r="AE26" s="45" t="s">
        <v>189</v>
      </c>
      <c r="AF26" s="44" t="s">
        <v>1</v>
      </c>
    </row>
    <row r="27" spans="1:32" customFormat="1" ht="15.75">
      <c r="A27" s="89"/>
      <c r="B27" s="5"/>
      <c r="C27" s="1527" t="s">
        <v>746</v>
      </c>
      <c r="D27" s="851" t="s">
        <v>797</v>
      </c>
      <c r="G27" s="37"/>
      <c r="H27" s="981" t="s">
        <v>199</v>
      </c>
      <c r="I27" s="1521"/>
      <c r="J27" s="1521"/>
      <c r="K27" s="425"/>
      <c r="L27" s="1522" t="s">
        <v>201</v>
      </c>
      <c r="M27" s="1523"/>
      <c r="O27" s="178"/>
      <c r="P27" s="157"/>
      <c r="Q27" s="150"/>
      <c r="R27" s="98" t="s">
        <v>360</v>
      </c>
      <c r="S27" s="89"/>
      <c r="T27" s="89"/>
      <c r="U27" s="151"/>
      <c r="V27" s="89"/>
      <c r="W27" s="78" t="str">
        <f>HLOOKUP($G$15,$AA$23:$AC$52,5,FALSE)</f>
        <v>Tilsæt halvdelen af melet og rør godt sammen.</v>
      </c>
      <c r="X27" s="67" t="str">
        <f>HLOOKUP($G$15,$AD$23:$AF$52,5,FALSE)</f>
        <v>Tilsæt halvdelen af melet og rør godt sammen.</v>
      </c>
      <c r="Z27" s="45"/>
      <c r="AA27" s="44" t="s">
        <v>11</v>
      </c>
      <c r="AB27" s="44" t="s">
        <v>11</v>
      </c>
      <c r="AC27" s="44" t="s">
        <v>11</v>
      </c>
      <c r="AD27" s="56" t="s">
        <v>11</v>
      </c>
      <c r="AE27" s="45" t="s">
        <v>11</v>
      </c>
      <c r="AF27" s="45" t="s">
        <v>11</v>
      </c>
    </row>
    <row r="28" spans="1:32" customFormat="1" ht="15.75">
      <c r="A28" s="89"/>
      <c r="B28" s="5"/>
      <c r="C28" s="1527" t="s">
        <v>746</v>
      </c>
      <c r="D28" s="851" t="s">
        <v>758</v>
      </c>
      <c r="E28" s="37"/>
      <c r="F28" s="37"/>
      <c r="G28" s="37"/>
      <c r="H28" s="962">
        <f>(E17/(1+SUM(W16:W20)))*L12</f>
        <v>186.90151136407337</v>
      </c>
      <c r="I28" s="292" t="s">
        <v>12</v>
      </c>
      <c r="J28" s="5"/>
      <c r="K28" s="5"/>
      <c r="L28" s="1405">
        <f>E17*(1/(SUM(W16:W20)+1))-H28</f>
        <v>778.75629735030577</v>
      </c>
      <c r="M28" s="1406" t="s">
        <v>12</v>
      </c>
      <c r="O28" s="178"/>
      <c r="P28" s="157"/>
      <c r="Q28" s="150"/>
      <c r="R28" s="134" t="s">
        <v>354</v>
      </c>
      <c r="S28" s="97"/>
      <c r="T28" s="89"/>
      <c r="U28" s="151"/>
      <c r="V28" s="89"/>
      <c r="W28" s="78" t="str">
        <f>HLOOKUP($G$15,$AA$23:$AC$52,6,FALSE)</f>
        <v>Tilsæt resten af melet og rør godt sammen.</v>
      </c>
      <c r="X28" s="67" t="str">
        <f>HLOOKUP($G$15,$AD$23:$AF$52,6,FALSE)</f>
        <v>Tilsæt resten af melet og rør godt sammen.</v>
      </c>
      <c r="Z28" s="45"/>
      <c r="AA28" s="44" t="s">
        <v>2</v>
      </c>
      <c r="AB28" s="44" t="s">
        <v>2</v>
      </c>
      <c r="AC28" s="44" t="s">
        <v>2</v>
      </c>
      <c r="AD28" s="56" t="s">
        <v>2</v>
      </c>
      <c r="AE28" s="45" t="s">
        <v>2</v>
      </c>
      <c r="AF28" s="45" t="s">
        <v>2</v>
      </c>
    </row>
    <row r="29" spans="1:32" customFormat="1" ht="15.75">
      <c r="A29" s="89"/>
      <c r="B29" s="5"/>
      <c r="C29" s="1527" t="s">
        <v>746</v>
      </c>
      <c r="D29" s="155" t="str">
        <f>VLOOKUP(G15,AA16:AC18,2,FALSE)</f>
        <v>Tilberedningstid  21-29 timer</v>
      </c>
      <c r="H29" s="962">
        <f>H28</f>
        <v>186.90151136407337</v>
      </c>
      <c r="I29" s="292" t="s">
        <v>815</v>
      </c>
      <c r="J29" s="5"/>
      <c r="K29" s="5"/>
      <c r="L29" s="1405">
        <f>E17*(W16/(SUM(W16:W20)+1))-H29</f>
        <v>436.1035265161712</v>
      </c>
      <c r="M29" s="1406" t="s">
        <v>444</v>
      </c>
      <c r="O29" s="178"/>
      <c r="P29" s="157"/>
      <c r="Q29" s="150"/>
      <c r="R29" s="134" t="s">
        <v>356</v>
      </c>
      <c r="S29" s="97"/>
      <c r="T29" s="89"/>
      <c r="U29" s="151"/>
      <c r="V29" s="89"/>
      <c r="W29" s="78" t="str">
        <f>HLOOKUP($G$15,$AA$23:$AC$52,7,FALSE)</f>
        <v>Lad det hæve i en lukket beholder (låg eller film) i 1 time ved stuetemperatur.</v>
      </c>
      <c r="X29" s="67" t="str">
        <f>HLOOKUP($G$15,$AD$23:$AF$52,7,FALSE)</f>
        <v>Lad det hvile tildækket 1 time ved stuetemperatur.</v>
      </c>
      <c r="Z29" s="45"/>
      <c r="AA29" s="44" t="s">
        <v>213</v>
      </c>
      <c r="AB29" s="44" t="s">
        <v>213</v>
      </c>
      <c r="AC29" s="56" t="s">
        <v>245</v>
      </c>
      <c r="AD29" s="56" t="s">
        <v>230</v>
      </c>
      <c r="AE29" s="45" t="s">
        <v>230</v>
      </c>
      <c r="AF29" s="56" t="s">
        <v>230</v>
      </c>
    </row>
    <row r="30" spans="1:32" customFormat="1" ht="15.75">
      <c r="A30" s="89"/>
      <c r="B30" s="5"/>
      <c r="C30" s="1438"/>
      <c r="D30" s="973"/>
      <c r="H30" s="963">
        <f>(H28+L28)*W18</f>
        <v>3.1150251894012229</v>
      </c>
      <c r="I30" s="292" t="str">
        <f>"g "&amp;Y59</f>
        <v>g tørgær</v>
      </c>
      <c r="J30" s="5"/>
      <c r="K30" s="5"/>
      <c r="L30" s="1405">
        <f>E17*(W17/(SUM(W16:W20)+1))</f>
        <v>25.107103026573853</v>
      </c>
      <c r="M30" s="1406" t="s">
        <v>29</v>
      </c>
      <c r="O30" s="178"/>
      <c r="P30" s="157"/>
      <c r="Q30" s="150"/>
      <c r="R30" s="134"/>
      <c r="S30" s="97"/>
      <c r="T30" s="89"/>
      <c r="U30" s="151"/>
      <c r="V30" s="89"/>
      <c r="W30" s="78" t="str">
        <f>HLOOKUP($G$15,$AA$23:$AC$52,8,FALSE)</f>
        <v>Sæt poolishen (stadig i lukket beholder) i køleskabet i 16-24 timer.</v>
      </c>
      <c r="X30" s="67" t="str">
        <f>HLOOKUP($G$15,$AD$23:$AF$52,8,FALSE)</f>
        <v>Herefter i køleskab i 16-24 timer.</v>
      </c>
      <c r="Z30" s="45"/>
      <c r="AA30" s="44" t="s">
        <v>221</v>
      </c>
      <c r="AB30" s="44" t="s">
        <v>248</v>
      </c>
      <c r="AC30" s="56" t="s">
        <v>224</v>
      </c>
      <c r="AD30" s="56" t="s">
        <v>224</v>
      </c>
      <c r="AE30" s="45" t="s">
        <v>249</v>
      </c>
      <c r="AF30" s="56" t="s">
        <v>224</v>
      </c>
    </row>
    <row r="31" spans="1:32" customFormat="1" ht="15.75" customHeight="1">
      <c r="A31" s="89"/>
      <c r="B31" s="5"/>
      <c r="C31" s="1527" t="s">
        <v>746</v>
      </c>
      <c r="D31" s="1890" t="str">
        <f>VLOOKUP(G15,AA16:AC18,3,FALSE)</f>
        <v>Poolish er med til at udvikle smagen i brødet og giver en bedre skorpe.</v>
      </c>
      <c r="E31" s="1890"/>
      <c r="F31" s="1890"/>
      <c r="G31" s="1891"/>
      <c r="H31" s="964">
        <f>(H28+L28)*W20</f>
        <v>3.1150251894012229</v>
      </c>
      <c r="I31" s="292" t="s">
        <v>13</v>
      </c>
      <c r="J31" s="5"/>
      <c r="K31" s="5"/>
      <c r="L31" s="1468">
        <f>IF(W19=0,0,E17*(W19/(SUM(W16:W20)+1)))</f>
        <v>0</v>
      </c>
      <c r="M31" s="1406" t="str">
        <f>IF(W19=0,"-",IF(L31=4.2,"g olie (1 tsk)","g olie"))</f>
        <v>-</v>
      </c>
      <c r="O31" s="178"/>
      <c r="P31" s="157"/>
      <c r="Q31" s="150"/>
      <c r="R31" s="180" t="s">
        <v>361</v>
      </c>
      <c r="S31" s="175"/>
      <c r="T31" s="89"/>
      <c r="U31" s="151"/>
      <c r="V31" s="89"/>
      <c r="W31" s="79"/>
      <c r="X31" s="77"/>
      <c r="Y31" s="22"/>
      <c r="Z31" s="70"/>
      <c r="AA31" s="68"/>
      <c r="AB31" s="68"/>
      <c r="AC31" s="68"/>
      <c r="AD31" s="69"/>
      <c r="AE31" s="70"/>
      <c r="AF31" s="70"/>
    </row>
    <row r="32" spans="1:32" customFormat="1" ht="15.75">
      <c r="A32" s="89"/>
      <c r="B32" s="5"/>
      <c r="D32" s="1890"/>
      <c r="E32" s="1890"/>
      <c r="F32" s="1890"/>
      <c r="G32" s="1891"/>
      <c r="H32" s="7"/>
      <c r="I32" s="5"/>
      <c r="J32" s="5"/>
      <c r="K32" s="5"/>
      <c r="L32" s="925">
        <f>ROUND(SUM(H28:H31),0)</f>
        <v>380</v>
      </c>
      <c r="M32" s="1412" t="s">
        <v>200</v>
      </c>
      <c r="O32" s="178"/>
      <c r="P32" s="157"/>
      <c r="Q32" s="150"/>
      <c r="R32" s="132" t="s">
        <v>338</v>
      </c>
      <c r="S32" s="93"/>
      <c r="T32" s="189">
        <v>25</v>
      </c>
      <c r="U32" s="151"/>
      <c r="V32" s="89"/>
      <c r="W32" s="79"/>
      <c r="X32" s="77"/>
      <c r="Y32" s="22"/>
      <c r="Z32" s="70"/>
      <c r="AA32" s="68"/>
      <c r="AB32" s="68"/>
      <c r="AC32" s="68"/>
      <c r="AD32" s="69"/>
      <c r="AE32" s="70"/>
      <c r="AF32" s="70"/>
    </row>
    <row r="33" spans="1:32" customFormat="1" ht="15.75">
      <c r="A33" s="89"/>
      <c r="B33" s="5"/>
      <c r="H33" s="2"/>
      <c r="I33" s="3"/>
      <c r="J33" s="3"/>
      <c r="K33" s="3"/>
      <c r="L33" s="1525">
        <f>E17</f>
        <v>1620</v>
      </c>
      <c r="M33" s="1526" t="s">
        <v>327</v>
      </c>
      <c r="O33" s="178"/>
      <c r="P33" s="157"/>
      <c r="Q33" s="150"/>
      <c r="R33" s="152" t="s">
        <v>339</v>
      </c>
      <c r="S33" s="93"/>
      <c r="T33" s="190"/>
      <c r="U33" s="151"/>
      <c r="V33" s="89"/>
      <c r="W33" s="79"/>
      <c r="X33" s="77"/>
      <c r="Y33" s="22"/>
      <c r="Z33" s="70"/>
      <c r="AA33" s="68"/>
      <c r="AB33" s="68"/>
      <c r="AC33" s="68"/>
      <c r="AD33" s="69"/>
      <c r="AE33" s="70"/>
      <c r="AF33" s="70"/>
    </row>
    <row r="34" spans="1:32" customFormat="1" ht="15">
      <c r="A34" s="89"/>
      <c r="B34" s="5"/>
      <c r="M34" s="1"/>
      <c r="O34" s="178"/>
      <c r="P34" s="157"/>
      <c r="Q34" s="150"/>
      <c r="R34" s="152" t="s">
        <v>340</v>
      </c>
      <c r="S34" s="93"/>
      <c r="T34" s="190">
        <v>5</v>
      </c>
      <c r="U34" s="151"/>
      <c r="V34" s="89"/>
      <c r="W34" s="78" t="str">
        <f>HLOOKUP($G$15,$AA$23:$AC$52,12,FALSE)</f>
        <v>Tag poolish'en ud af køleskabet og lad den stå ved stuetemperatur (20-25°) i 20 min.</v>
      </c>
      <c r="X34" s="67" t="str">
        <f>HLOOKUP($G$15,$AD$23:$AF$52,12,FALSE)</f>
        <v>Lad poolish hvile 20 min ved stuetemperatur.</v>
      </c>
      <c r="Z34" s="45"/>
      <c r="AA34" s="44" t="s">
        <v>243</v>
      </c>
      <c r="AB34" s="44" t="s">
        <v>243</v>
      </c>
      <c r="AC34" s="44" t="s">
        <v>246</v>
      </c>
      <c r="AD34" s="56" t="s">
        <v>535</v>
      </c>
      <c r="AE34" s="56" t="s">
        <v>198</v>
      </c>
      <c r="AF34" s="44" t="s">
        <v>246</v>
      </c>
    </row>
    <row r="35" spans="1:32" customFormat="1" ht="15.75" customHeight="1">
      <c r="A35" s="89"/>
      <c r="B35" s="5"/>
      <c r="C35" s="937" t="s">
        <v>813</v>
      </c>
      <c r="D35" s="535"/>
      <c r="E35" s="535"/>
      <c r="F35" s="535"/>
      <c r="G35" s="536"/>
      <c r="H35" s="3"/>
      <c r="I35" s="3"/>
      <c r="J35" s="3"/>
      <c r="K35" s="3"/>
      <c r="L35" s="3"/>
      <c r="M35" s="26"/>
      <c r="O35" s="178"/>
      <c r="P35" s="157"/>
      <c r="Q35" s="150"/>
      <c r="R35" s="148" t="s">
        <v>341</v>
      </c>
      <c r="S35" s="148"/>
      <c r="T35" s="191">
        <v>5</v>
      </c>
      <c r="U35" s="151"/>
      <c r="V35" s="89"/>
      <c r="W35" s="78" t="str">
        <f>HLOOKUP($G$15,$AA$23:$AC$52,13,FALSE)</f>
        <v>Poolish'en røres ud i vandet, hvorefter halvdelen af melet tilsættes og æltes.</v>
      </c>
      <c r="X35" s="67" t="str">
        <f>HLOOKUP($G$15,$AD$23:$AF$52,13,FALSE)</f>
        <v>Rør poolish ud i vandet og tilsæt halvdelen af melet. Ælt godt sammen.</v>
      </c>
      <c r="Z35" s="45"/>
      <c r="AA35" s="44" t="s">
        <v>534</v>
      </c>
      <c r="AB35" s="44" t="s">
        <v>5</v>
      </c>
      <c r="AC35" s="45" t="s">
        <v>252</v>
      </c>
      <c r="AD35" s="56" t="s">
        <v>533</v>
      </c>
      <c r="AE35" s="45" t="s">
        <v>190</v>
      </c>
      <c r="AF35" s="45" t="s">
        <v>235</v>
      </c>
    </row>
    <row r="36" spans="1:32" customFormat="1" ht="15.75">
      <c r="A36" s="89"/>
      <c r="B36" s="5"/>
      <c r="C36" s="425"/>
      <c r="D36" s="425"/>
      <c r="E36" s="425"/>
      <c r="F36" s="425"/>
      <c r="G36" s="425"/>
      <c r="H36" s="5"/>
      <c r="I36" s="5"/>
      <c r="J36" s="5"/>
      <c r="K36" s="5"/>
      <c r="L36" s="5"/>
      <c r="M36" s="11"/>
      <c r="O36" s="178"/>
      <c r="P36" s="157"/>
      <c r="Q36" s="150"/>
      <c r="R36" s="152" t="s">
        <v>342</v>
      </c>
      <c r="S36" s="93"/>
      <c r="T36" s="1881" t="str">
        <f>IF(OR(T32="",T33=""),"",(T32*2)-T33-T34-(T35*2)&amp;"°")</f>
        <v/>
      </c>
      <c r="U36" s="151"/>
      <c r="V36" s="89"/>
      <c r="W36" s="78" t="str">
        <f>HLOOKUP($G$15,$AA$23:$AC$52,14,FALSE)</f>
        <v>Tilsæt salt og resten af melet og ælt dejen godt.</v>
      </c>
      <c r="X36" s="67" t="str">
        <f>HLOOKUP($G$15,$AD$23:$AF$52,14,FALSE)</f>
        <v>Tilsæt salt og resten af melet og rør sammen.</v>
      </c>
      <c r="Z36" s="45"/>
      <c r="AA36" s="44" t="str">
        <f>"Tilsæt salt og resten af melet og ælt dejen godt."&amp;IF(L31=0,""," Tilsæt olie og ælt.")</f>
        <v>Tilsæt salt og resten af melet og ælt dejen godt.</v>
      </c>
      <c r="AB36" s="44" t="str">
        <f>"Tilsæt salt og resten af melet og ælt dejen godt."&amp;IF(L31=0,""," Tilsæt olie og ælt.")</f>
        <v>Tilsæt salt og resten af melet og ælt dejen godt.</v>
      </c>
      <c r="AC36" s="45" t="s">
        <v>236</v>
      </c>
      <c r="AD36" s="56" t="str">
        <f>IF(L31=0,"Tilsæt salt og resten af melet og rør sammen.","Tilsæt salt og resten af melet og rør sammen. Tilsæt olie og ælt.")</f>
        <v>Tilsæt salt og resten af melet og rør sammen.</v>
      </c>
      <c r="AE36" s="45" t="s">
        <v>527</v>
      </c>
      <c r="AF36" s="45" t="s">
        <v>236</v>
      </c>
    </row>
    <row r="37" spans="1:32" customFormat="1" ht="15.75">
      <c r="A37" s="89"/>
      <c r="B37" s="5"/>
      <c r="C37" s="708">
        <v>1</v>
      </c>
      <c r="D37" s="896" t="str">
        <f>HLOOKUP($G$19,$W$24:$X$52,3,FALSE)</f>
        <v>Rør gær og honning ud i vandet.</v>
      </c>
      <c r="E37" s="425"/>
      <c r="F37" s="425"/>
      <c r="G37" s="425"/>
      <c r="H37" s="5"/>
      <c r="I37" s="5"/>
      <c r="J37" s="5"/>
      <c r="K37" s="5"/>
      <c r="L37" s="933" t="str">
        <f>ROUND(H29,0)&amp;" g vand, "&amp;ROUND(H30,1)&amp;" g. gær, "&amp;ROUND(H31,1)&amp;" g. honning."</f>
        <v>187 g vand, 3,1 g. gær, 3,1 g. honning.</v>
      </c>
      <c r="M37" s="141"/>
      <c r="O37" s="178"/>
      <c r="P37" s="157"/>
      <c r="Q37" s="182"/>
      <c r="R37" s="159" t="s">
        <v>343</v>
      </c>
      <c r="S37" s="323"/>
      <c r="T37" s="1882"/>
      <c r="U37" s="151"/>
      <c r="V37" s="89"/>
      <c r="W37" s="78"/>
      <c r="X37" s="67"/>
      <c r="Z37" s="45"/>
      <c r="AA37" s="44"/>
      <c r="AB37" s="44"/>
      <c r="AC37" s="45"/>
      <c r="AD37" s="56"/>
      <c r="AE37" s="45"/>
      <c r="AF37" s="45"/>
    </row>
    <row r="38" spans="1:32" customFormat="1" ht="15.75">
      <c r="A38" s="89"/>
      <c r="B38" s="5"/>
      <c r="C38" s="939"/>
      <c r="D38" s="105"/>
      <c r="E38" s="105"/>
      <c r="F38" s="105"/>
      <c r="G38" s="105"/>
      <c r="M38" s="1"/>
      <c r="O38" s="178"/>
      <c r="P38" s="157"/>
      <c r="Q38" s="182"/>
      <c r="R38" s="98"/>
      <c r="S38" s="98"/>
      <c r="T38" s="1882"/>
      <c r="U38" s="151"/>
      <c r="V38" s="89"/>
      <c r="W38" s="78" t="str">
        <f>HLOOKUP($G$15,$AA$23:$AC$52,16,FALSE)</f>
        <v>Vend dejen ud på bordet. Tag evt. lidt olie på hænderne for bedre at kunne håndtere den.</v>
      </c>
      <c r="X38" s="67" t="str">
        <f>HLOOKUP($G$15,$AD$23:$AF$52,16,FALSE)</f>
        <v>Vend dejen ud på bordet og lad den hvile tildækket i 15 min.</v>
      </c>
      <c r="Z38" s="45"/>
      <c r="AA38" s="44" t="s">
        <v>191</v>
      </c>
      <c r="AB38" s="44" t="s">
        <v>191</v>
      </c>
      <c r="AC38" s="45" t="s">
        <v>250</v>
      </c>
      <c r="AD38" s="56" t="s">
        <v>196</v>
      </c>
      <c r="AE38" s="45" t="s">
        <v>196</v>
      </c>
      <c r="AF38" s="45" t="s">
        <v>253</v>
      </c>
    </row>
    <row r="39" spans="1:32" customFormat="1" ht="15.75">
      <c r="A39" s="89"/>
      <c r="B39" s="5"/>
      <c r="C39" s="708">
        <v>2</v>
      </c>
      <c r="D39" s="896" t="str">
        <f>HLOOKUP($G$19,$W$24:$X$52,4,FALSE)</f>
        <v>Tilsæt halvdelen af melet og rør godt sammen.</v>
      </c>
      <c r="E39" s="425"/>
      <c r="F39" s="425"/>
      <c r="G39" s="425"/>
      <c r="H39" s="5"/>
      <c r="I39" s="5"/>
      <c r="J39" s="5"/>
      <c r="K39" s="5"/>
      <c r="L39" s="933" t="str">
        <f>"~"&amp;ROUND(H28/2,0)&amp;" g. mel."</f>
        <v>~93 g. mel.</v>
      </c>
      <c r="M39" s="141"/>
      <c r="O39" s="178"/>
      <c r="P39" s="157"/>
      <c r="Q39" s="182"/>
      <c r="R39" s="181" t="s">
        <v>362</v>
      </c>
      <c r="S39" s="181"/>
      <c r="T39" s="181"/>
      <c r="U39" s="151"/>
      <c r="V39" s="89"/>
      <c r="W39" s="78" t="str">
        <f>HLOOKUP($G$15,$AA$23:$AC$52,17,FALSE)</f>
        <v>Lad den hvile tildækket i 15 min. Vend en skål ovenpå med bunden op.</v>
      </c>
      <c r="X39" s="67" t="str">
        <f>HLOOKUP($G$15,$AD$23:$AF$52,17,FALSE)</f>
        <v xml:space="preserve"> </v>
      </c>
      <c r="Z39" s="45"/>
      <c r="AA39" s="46" t="s">
        <v>185</v>
      </c>
      <c r="AB39" s="46" t="s">
        <v>185</v>
      </c>
      <c r="AC39" s="45" t="s">
        <v>237</v>
      </c>
      <c r="AD39" s="56" t="s">
        <v>194</v>
      </c>
      <c r="AE39" s="45" t="s">
        <v>194</v>
      </c>
      <c r="AF39" s="45" t="s">
        <v>237</v>
      </c>
    </row>
    <row r="40" spans="1:32" customFormat="1" ht="15.75">
      <c r="A40" s="89"/>
      <c r="B40" s="5"/>
      <c r="C40" s="939"/>
      <c r="D40" s="105"/>
      <c r="E40" s="105"/>
      <c r="F40" s="105"/>
      <c r="G40" s="105"/>
      <c r="M40" s="1"/>
      <c r="O40" s="178"/>
      <c r="P40" s="89"/>
      <c r="Q40" s="182"/>
      <c r="R40" s="134" t="s">
        <v>364</v>
      </c>
      <c r="S40" s="98"/>
      <c r="T40" s="98"/>
      <c r="U40" s="151"/>
      <c r="V40" s="89"/>
      <c r="W40" s="79"/>
      <c r="X40" s="77"/>
      <c r="Y40" s="22"/>
      <c r="Z40" s="70"/>
      <c r="AA40" s="68"/>
      <c r="AB40" s="68"/>
      <c r="AC40" s="70"/>
      <c r="AD40" s="69"/>
      <c r="AE40" s="70"/>
      <c r="AF40" s="70"/>
    </row>
    <row r="41" spans="1:32" customFormat="1" ht="15.75">
      <c r="A41" s="89"/>
      <c r="B41" s="5"/>
      <c r="C41" s="708">
        <v>3</v>
      </c>
      <c r="D41" s="896" t="str">
        <f>HLOOKUP($G$19,$W$24:$X$52,5,FALSE)</f>
        <v>Tilsæt resten af melet og rør godt sammen.</v>
      </c>
      <c r="E41" s="425"/>
      <c r="F41" s="425"/>
      <c r="G41" s="425"/>
      <c r="H41" s="5"/>
      <c r="I41" s="5"/>
      <c r="J41" s="5"/>
      <c r="K41" s="5"/>
      <c r="L41" s="933" t="str">
        <f>L39</f>
        <v>~93 g. mel.</v>
      </c>
      <c r="M41" s="141"/>
      <c r="O41" s="178"/>
      <c r="P41" s="89"/>
      <c r="Q41" s="182"/>
      <c r="R41" s="134" t="s">
        <v>363</v>
      </c>
      <c r="S41" s="98"/>
      <c r="T41" s="98"/>
      <c r="U41" s="151"/>
      <c r="V41" s="89"/>
      <c r="W41" s="79" t="str">
        <f>HLOOKUP($G$15,$AA$23:$AC$52,19,FALSE)</f>
        <v>Tip: Fra nu af skal du sørge for holde overside af dejen op under hele processen.</v>
      </c>
      <c r="X41" s="77" t="str">
        <f>HLOOKUP($G$15,$AD$23:$AF$52,19,FALSE)</f>
        <v>Tip: Fra nu af skal du sørge for holde overside af dejen op under hele processen.</v>
      </c>
      <c r="Y41" s="22"/>
      <c r="Z41" s="70"/>
      <c r="AA41" s="71" t="s">
        <v>247</v>
      </c>
      <c r="AB41" s="71" t="s">
        <v>247</v>
      </c>
      <c r="AC41" s="71" t="s">
        <v>247</v>
      </c>
      <c r="AD41" s="69" t="s">
        <v>247</v>
      </c>
      <c r="AE41" s="70" t="s">
        <v>247</v>
      </c>
      <c r="AF41" s="71" t="s">
        <v>247</v>
      </c>
    </row>
    <row r="42" spans="1:32" customFormat="1" ht="15.75">
      <c r="A42" s="89"/>
      <c r="B42" s="5"/>
      <c r="C42" s="939"/>
      <c r="D42" s="105"/>
      <c r="E42" s="105"/>
      <c r="F42" s="105"/>
      <c r="G42" s="105"/>
      <c r="M42" s="1"/>
      <c r="O42" s="178"/>
      <c r="P42" s="89"/>
      <c r="Q42" s="176"/>
      <c r="R42" s="160" t="s">
        <v>365</v>
      </c>
      <c r="S42" s="98"/>
      <c r="T42" s="98"/>
      <c r="U42" s="151"/>
      <c r="V42" s="89"/>
      <c r="W42" s="79"/>
      <c r="X42" s="77"/>
      <c r="Y42" s="22"/>
      <c r="Z42" s="70"/>
      <c r="AA42" s="68"/>
      <c r="AB42" s="68"/>
      <c r="AC42" s="70"/>
      <c r="AD42" s="69"/>
      <c r="AE42" s="70"/>
      <c r="AF42" s="70"/>
    </row>
    <row r="43" spans="1:32" customFormat="1" ht="15.75">
      <c r="A43" s="89"/>
      <c r="B43" s="5"/>
      <c r="C43" s="708">
        <v>4</v>
      </c>
      <c r="D43" s="896" t="str">
        <f>HLOOKUP($G$19,$W$24:$X$52,6,FALSE)</f>
        <v>Lad det hvile tildækket 1 time ved stuetemperatur.</v>
      </c>
      <c r="E43" s="425"/>
      <c r="F43" s="425"/>
      <c r="G43" s="425"/>
      <c r="H43" s="5"/>
      <c r="I43" s="5"/>
      <c r="J43" s="5"/>
      <c r="K43" s="5"/>
      <c r="L43" s="41" t="s">
        <v>216</v>
      </c>
      <c r="M43" s="39"/>
      <c r="O43" s="178"/>
      <c r="P43" s="89"/>
      <c r="Q43" s="150"/>
      <c r="R43" s="98" t="s">
        <v>368</v>
      </c>
      <c r="S43" s="93"/>
      <c r="T43" s="89"/>
      <c r="U43" s="151"/>
      <c r="V43" s="89"/>
      <c r="W43" s="78" t="str">
        <f>HLOOKUP($G$15,$AA$23:$AC$52,21,FALSE)</f>
        <v>Dejen virkes nu op indtil overfladen virker jævn (fold dejen ind under sig selv).</v>
      </c>
      <c r="X43" s="67" t="str">
        <f>HLOOKUP($G$15,$AD$23:$AF$52,21,FALSE)</f>
        <v>Virk dejen op til glat overflade.</v>
      </c>
      <c r="Z43" s="45"/>
      <c r="AA43" s="44" t="s">
        <v>233</v>
      </c>
      <c r="AB43" s="44" t="s">
        <v>234</v>
      </c>
      <c r="AC43" s="45" t="s">
        <v>251</v>
      </c>
      <c r="AD43" s="56" t="s">
        <v>192</v>
      </c>
      <c r="AE43" s="45" t="s">
        <v>192</v>
      </c>
      <c r="AF43" s="45" t="s">
        <v>254</v>
      </c>
    </row>
    <row r="44" spans="1:32" customFormat="1" ht="15.75">
      <c r="A44" s="89"/>
      <c r="B44" s="5"/>
      <c r="C44" s="939"/>
      <c r="D44" s="105"/>
      <c r="E44" s="105"/>
      <c r="F44" s="105"/>
      <c r="G44" s="105"/>
      <c r="L44" s="42" t="s">
        <v>214</v>
      </c>
      <c r="M44" s="40"/>
      <c r="O44" s="178"/>
      <c r="P44" s="89"/>
      <c r="Q44" s="150"/>
      <c r="R44" s="98" t="s">
        <v>366</v>
      </c>
      <c r="S44" s="93"/>
      <c r="T44" s="89"/>
      <c r="U44" s="151"/>
      <c r="V44" s="89"/>
      <c r="W44" s="78" t="str">
        <f>HLOOKUP($G$15,$AA$23:$AC$52,22,FALSE)</f>
        <v>Smør en skål med olivenolie og placer dejen heri (stadig med oversiden op).</v>
      </c>
      <c r="X44" s="67" t="str">
        <f>HLOOKUP($G$15,$AD$23:$AF$52,22,FALSE)</f>
        <v>Læg dejen i en skål og lad dejen hæve 30-60 min. ved stuetemperatur.</v>
      </c>
      <c r="Z44" s="45"/>
      <c r="AA44" s="44" t="s">
        <v>532</v>
      </c>
      <c r="AB44" s="44" t="s">
        <v>23</v>
      </c>
      <c r="AC44" s="45" t="s">
        <v>238</v>
      </c>
      <c r="AD44" s="56" t="s">
        <v>531</v>
      </c>
      <c r="AE44" s="45" t="s">
        <v>226</v>
      </c>
      <c r="AF44" s="45" t="s">
        <v>238</v>
      </c>
    </row>
    <row r="45" spans="1:32" customFormat="1" ht="15.75">
      <c r="A45" s="89"/>
      <c r="B45" s="5"/>
      <c r="C45" s="708">
        <v>5</v>
      </c>
      <c r="D45" s="896" t="str">
        <f>HLOOKUP($G$19,$W$24:$X$52,7,FALSE)</f>
        <v>Herefter i køleskab i 16-24 timer.</v>
      </c>
      <c r="E45" s="425"/>
      <c r="F45" s="425"/>
      <c r="G45" s="425"/>
      <c r="H45" s="5"/>
      <c r="I45" s="5"/>
      <c r="J45" s="5"/>
      <c r="K45" s="5"/>
      <c r="L45" s="57" t="s">
        <v>529</v>
      </c>
      <c r="M45" s="58"/>
      <c r="O45" s="178"/>
      <c r="P45" s="89"/>
      <c r="Q45" s="153"/>
      <c r="R45" s="174"/>
      <c r="S45" s="183"/>
      <c r="T45" s="186"/>
      <c r="U45" s="154"/>
      <c r="V45" s="89"/>
      <c r="W45" s="78" t="str">
        <f>HLOOKUP($G$15,$AA$23:$AC$52,23,FALSE)</f>
        <v>Luk tæt med låg eller film og lad dejen hæve 30-60 min. ved stuetemperatur.</v>
      </c>
      <c r="X45" s="67" t="str">
        <f>HLOOKUP($G$15,$AD$23:$AF$52,23,FALSE)</f>
        <v xml:space="preserve"> </v>
      </c>
      <c r="Z45" s="45"/>
      <c r="AA45" s="46" t="s">
        <v>530</v>
      </c>
      <c r="AB45" s="44" t="s">
        <v>225</v>
      </c>
      <c r="AC45" s="45" t="s">
        <v>194</v>
      </c>
      <c r="AD45" s="56" t="s">
        <v>194</v>
      </c>
      <c r="AE45" s="45" t="s">
        <v>194</v>
      </c>
      <c r="AF45" s="45" t="s">
        <v>194</v>
      </c>
    </row>
    <row r="46" spans="1:32" customFormat="1" ht="15.75">
      <c r="A46" s="89"/>
      <c r="B46" s="5"/>
      <c r="C46" s="939"/>
      <c r="D46" s="105"/>
      <c r="E46" s="105"/>
      <c r="F46" s="105"/>
      <c r="G46" s="105"/>
      <c r="M46" s="1"/>
      <c r="O46" s="178"/>
      <c r="P46" s="89"/>
      <c r="Q46" s="89"/>
      <c r="R46" s="134"/>
      <c r="S46" s="93"/>
      <c r="T46" s="89"/>
      <c r="U46" s="89"/>
      <c r="V46" s="89"/>
      <c r="W46" s="79"/>
      <c r="X46" s="77"/>
      <c r="Y46" s="22"/>
      <c r="Z46" s="70"/>
      <c r="AA46" s="68"/>
      <c r="AB46" s="68"/>
      <c r="AC46" s="70"/>
      <c r="AD46" s="69"/>
      <c r="AE46" s="70"/>
      <c r="AF46" s="70"/>
    </row>
    <row r="47" spans="1:32" customFormat="1" ht="15">
      <c r="A47" s="89"/>
      <c r="B47" s="5"/>
      <c r="C47" s="5"/>
      <c r="D47" s="5"/>
      <c r="E47" s="5"/>
      <c r="F47" s="5"/>
      <c r="G47" s="5"/>
      <c r="H47" s="5"/>
      <c r="I47" s="5"/>
      <c r="J47" s="5"/>
      <c r="K47" s="5"/>
      <c r="M47" s="1"/>
      <c r="O47" s="178"/>
      <c r="P47" s="89"/>
      <c r="Q47" s="89"/>
      <c r="R47" s="134"/>
      <c r="S47" s="93"/>
      <c r="T47" s="89"/>
      <c r="U47" s="89"/>
      <c r="V47" s="89"/>
      <c r="W47" s="78" t="str">
        <f>HLOOKUP($G$15,$AA$23:$AC$52,25,FALSE)</f>
        <v>Vend dejen ud på bordet.</v>
      </c>
      <c r="X47" s="67" t="str">
        <f>HLOOKUP($G$15,$AD$23:$AF$52,25,FALSE)</f>
        <v>Vend dejen ud på bordet.</v>
      </c>
      <c r="Z47" s="45"/>
      <c r="AA47" s="56" t="s">
        <v>195</v>
      </c>
      <c r="AB47" s="44" t="s">
        <v>258</v>
      </c>
      <c r="AC47" s="45" t="s">
        <v>256</v>
      </c>
      <c r="AD47" s="56" t="s">
        <v>195</v>
      </c>
      <c r="AE47" s="45" t="s">
        <v>258</v>
      </c>
      <c r="AF47" s="45" t="s">
        <v>195</v>
      </c>
    </row>
    <row r="48" spans="1:32" customFormat="1" ht="15.75">
      <c r="A48" s="89"/>
      <c r="B48" s="5"/>
      <c r="C48" s="535" t="s">
        <v>814</v>
      </c>
      <c r="D48" s="535"/>
      <c r="E48" s="934" t="str">
        <f>IF(G15&lt;&gt;"poolish","","(påbegynd ca. 4 timer før pizzaerne skal i ovnen)")</f>
        <v>(påbegynd ca. 4 timer før pizzaerne skal i ovnen)</v>
      </c>
      <c r="F48" s="535"/>
      <c r="G48" s="536"/>
      <c r="H48" s="536"/>
      <c r="I48" s="3"/>
      <c r="J48" s="3"/>
      <c r="K48" s="3"/>
      <c r="L48" s="3"/>
      <c r="M48" s="26"/>
      <c r="O48" s="178"/>
      <c r="P48" s="89"/>
      <c r="Q48" s="89"/>
      <c r="R48" s="134"/>
      <c r="S48" s="93"/>
      <c r="T48" s="89"/>
      <c r="U48" s="89"/>
      <c r="V48" s="89"/>
      <c r="W48" s="78" t="str">
        <f>HLOOKUP($G$15,$AA$23:$AC$52,26,FALSE)</f>
        <v>Del dejen i 6 klumper af ca. 270 g. Tag evt. lidt olie på hænderne for at lette håndteringen.</v>
      </c>
      <c r="X48" s="67" t="str">
        <f>HLOOKUP($G$15,$AD$23:$AF$52,26,FALSE)</f>
        <v>Del dejen i 6 klumper af ca. 270 g.</v>
      </c>
      <c r="Z48" s="45"/>
      <c r="AA48" s="44" t="str">
        <f>"Del dejen i "&amp;$E$15&amp;" klumper af ca. "&amp;$E$16&amp;" g. Tag evt. lidt olie på hænderne for at lette håndteringen."</f>
        <v>Del dejen i 6 klumper af ca. 270 g. Tag evt. lidt olie på hænderne for at lette håndteringen.</v>
      </c>
      <c r="AB48" s="44" t="str">
        <f>"Del dejen i "&amp;$E$15&amp;" klumper af ca. "&amp;$E$16&amp;" g. Tag evt. lidt olie på hænderne for at lette håndteringen."</f>
        <v>Del dejen i 6 klumper af ca. 270 g. Tag evt. lidt olie på hænderne for at lette håndteringen.</v>
      </c>
      <c r="AC48" s="45" t="str">
        <f>"Del dejen i "&amp;$E$15&amp;" klumper af ca. "&amp;$E$16&amp;" g."</f>
        <v>Del dejen i 6 klumper af ca. 270 g.</v>
      </c>
      <c r="AD48" s="56" t="str">
        <f>"Del dejen i "&amp;$E$15&amp;" klumper af ca. "&amp;$E$16&amp;" g."</f>
        <v>Del dejen i 6 klumper af ca. 270 g.</v>
      </c>
      <c r="AE48" s="45" t="str">
        <f>"Del dejen i "&amp;$E$15&amp;" klumper af ca. "&amp;$E$16&amp;" g."</f>
        <v>Del dejen i 6 klumper af ca. 270 g.</v>
      </c>
      <c r="AF48" s="45" t="str">
        <f>"Del dejen i "&amp;$E$15&amp;" klumper af ca. "&amp;$E$16&amp;" g."</f>
        <v>Del dejen i 6 klumper af ca. 270 g.</v>
      </c>
    </row>
    <row r="49" spans="1:32" customFormat="1" ht="15.75">
      <c r="A49" s="89"/>
      <c r="B49" s="5"/>
      <c r="C49" s="902"/>
      <c r="D49" s="902"/>
      <c r="E49" s="902"/>
      <c r="F49" s="902"/>
      <c r="G49" s="425"/>
      <c r="H49" s="425"/>
      <c r="I49" s="5"/>
      <c r="J49" s="5"/>
      <c r="K49" s="5"/>
      <c r="L49" s="5"/>
      <c r="M49" s="932"/>
      <c r="O49" s="178"/>
      <c r="P49" s="89"/>
      <c r="Q49" s="89"/>
      <c r="R49" s="134"/>
      <c r="S49" s="93"/>
      <c r="T49" s="89"/>
      <c r="U49" s="89"/>
      <c r="V49" s="89"/>
      <c r="W49" s="78" t="str">
        <f>HLOOKUP($G$15,$AA$23:$AC$52,27,FALSE)</f>
        <v>Dejklumperne skal nu strammes op til kugler ved at folde oversiden ind i bunden af dejen.</v>
      </c>
      <c r="X49" s="67" t="str">
        <f>HLOOKUP($G$15,$AD$23:$AF$52,27,FALSE)</f>
        <v>Stram dejkuglerne op og lad dem hæve 2 timer ved stuetemperatur.</v>
      </c>
      <c r="Z49" s="45"/>
      <c r="AA49" s="44" t="s">
        <v>26</v>
      </c>
      <c r="AB49" s="44" t="s">
        <v>26</v>
      </c>
      <c r="AC49" s="45" t="s">
        <v>255</v>
      </c>
      <c r="AD49" s="56" t="s">
        <v>197</v>
      </c>
      <c r="AE49" s="45" t="s">
        <v>197</v>
      </c>
      <c r="AF49" s="45" t="s">
        <v>239</v>
      </c>
    </row>
    <row r="50" spans="1:32" customFormat="1" ht="15.75">
      <c r="A50" s="89"/>
      <c r="B50" s="5"/>
      <c r="C50" s="708">
        <v>6</v>
      </c>
      <c r="D50" s="425" t="str">
        <f>HLOOKUP($G$19,$W$24:$X$52,11,FALSE)</f>
        <v>Lad poolish hvile 20 min ved stuetemperatur.</v>
      </c>
      <c r="E50" s="902"/>
      <c r="F50" s="902"/>
      <c r="G50" s="425"/>
      <c r="H50" s="425"/>
      <c r="I50" s="5"/>
      <c r="J50" s="5"/>
      <c r="K50" s="5"/>
      <c r="L50" s="5"/>
      <c r="M50" s="11"/>
      <c r="O50" s="178"/>
      <c r="P50" s="89"/>
      <c r="Q50" s="89"/>
      <c r="R50" s="134"/>
      <c r="S50" s="93"/>
      <c r="T50" s="89"/>
      <c r="U50" s="89"/>
      <c r="V50" s="89"/>
      <c r="W50" s="78" t="str">
        <f>HLOOKUP($G$15,$AA$23:$AC$52,28,FALSE)</f>
        <v>Gentag indtil overfladen virker jævn. Husk at få "lukket" i bunden af dejen.</v>
      </c>
      <c r="X50" s="67" t="str">
        <f>HLOOKUP($G$15,$AD$23:$AF$52,28,FALSE)</f>
        <v xml:space="preserve"> </v>
      </c>
      <c r="Z50" s="45"/>
      <c r="AA50" s="44" t="s">
        <v>24</v>
      </c>
      <c r="AB50" s="44" t="s">
        <v>24</v>
      </c>
      <c r="AC50" s="45" t="s">
        <v>257</v>
      </c>
      <c r="AD50" s="56" t="s">
        <v>194</v>
      </c>
      <c r="AE50" s="45" t="s">
        <v>194</v>
      </c>
      <c r="AF50" s="45" t="s">
        <v>241</v>
      </c>
    </row>
    <row r="51" spans="1:32" customFormat="1" ht="15.75">
      <c r="A51" s="89"/>
      <c r="B51" s="5"/>
      <c r="C51" s="939"/>
      <c r="D51" s="105"/>
      <c r="E51" s="105"/>
      <c r="F51" s="105"/>
      <c r="G51" s="105"/>
      <c r="H51" s="105"/>
      <c r="M51" s="1"/>
      <c r="O51" s="178"/>
      <c r="P51" s="89"/>
      <c r="Q51" s="89"/>
      <c r="R51" s="134"/>
      <c r="S51" s="93"/>
      <c r="T51" s="89"/>
      <c r="U51" s="89"/>
      <c r="V51" s="89"/>
      <c r="W51" s="78" t="str">
        <f>HLOOKUP($G$15,$AA$23:$AC$52,29,FALSE)</f>
        <v>Klap dejkuglerne med olie på hænderne og placer dem i en hævekasse eller bradepande.</v>
      </c>
      <c r="X51" s="67" t="str">
        <f>HLOOKUP($G$15,$AD$23:$AF$52,29,FALSE)</f>
        <v>Voila!</v>
      </c>
      <c r="Z51" s="45"/>
      <c r="AA51" s="44" t="s">
        <v>25</v>
      </c>
      <c r="AB51" s="44" t="s">
        <v>25</v>
      </c>
      <c r="AC51" s="44" t="s">
        <v>194</v>
      </c>
      <c r="AD51" s="56" t="s">
        <v>193</v>
      </c>
      <c r="AE51" s="45" t="s">
        <v>193</v>
      </c>
      <c r="AF51" s="45" t="s">
        <v>194</v>
      </c>
    </row>
    <row r="52" spans="1:32" customFormat="1" ht="15.75">
      <c r="A52" s="89"/>
      <c r="B52" s="5"/>
      <c r="C52" s="708">
        <v>7</v>
      </c>
      <c r="D52" s="425" t="str">
        <f>HLOOKUP($G$19,$W$24:$X$52,12,FALSE)</f>
        <v>Rør poolish ud i vandet og tilsæt halvdelen af melet. Ælt godt sammen.</v>
      </c>
      <c r="E52" s="425"/>
      <c r="F52" s="425"/>
      <c r="G52" s="425"/>
      <c r="H52" s="425"/>
      <c r="I52" s="5"/>
      <c r="J52" s="5"/>
      <c r="K52" s="5"/>
      <c r="L52" s="933" t="str">
        <f>ROUND(L29,0)&amp;" ml. vand, poolish og ~"&amp;ROUND(L28/2,0)&amp;" g. mel."</f>
        <v>436 ml. vand, poolish og ~389 g. mel.</v>
      </c>
      <c r="M52" s="141"/>
      <c r="O52" s="178"/>
      <c r="P52" s="89"/>
      <c r="Q52" s="89"/>
      <c r="R52" s="134"/>
      <c r="S52" s="93"/>
      <c r="T52" s="89"/>
      <c r="U52" s="89"/>
      <c r="V52" s="89"/>
      <c r="W52" s="80" t="str">
        <f>HLOOKUP($G$15,$AA$23:$AC$52,30,FALSE)</f>
        <v>Dæk dem med låg eller folie og lad dem hæve 2 timer ved stuetemperatur, hvorefter de er klar til brug</v>
      </c>
      <c r="X52" s="81" t="str">
        <f>HLOOKUP($G$15,$AD$23:$AF$52,30,FALSE)</f>
        <v xml:space="preserve"> </v>
      </c>
      <c r="Y52" s="82"/>
      <c r="Z52" s="48"/>
      <c r="AA52" s="47" t="s">
        <v>186</v>
      </c>
      <c r="AB52" s="47" t="s">
        <v>186</v>
      </c>
      <c r="AC52" s="47" t="s">
        <v>194</v>
      </c>
      <c r="AD52" s="55" t="s">
        <v>194</v>
      </c>
      <c r="AE52" s="48" t="s">
        <v>194</v>
      </c>
      <c r="AF52" s="48" t="s">
        <v>194</v>
      </c>
    </row>
    <row r="53" spans="1:32" customFormat="1" ht="15.75">
      <c r="A53" s="89"/>
      <c r="B53" s="5"/>
      <c r="C53" s="939"/>
      <c r="D53" s="105"/>
      <c r="E53" s="105"/>
      <c r="F53" s="105"/>
      <c r="G53" s="105"/>
      <c r="H53" s="105"/>
      <c r="M53" s="1"/>
      <c r="O53" s="178"/>
      <c r="P53" s="89"/>
      <c r="Q53" s="89"/>
      <c r="R53" s="134"/>
      <c r="S53" s="93"/>
      <c r="T53" s="89"/>
      <c r="U53" s="89"/>
      <c r="V53" s="89"/>
      <c r="W53" s="67"/>
      <c r="X53" s="67"/>
    </row>
    <row r="54" spans="1:32" customFormat="1" ht="15.75">
      <c r="A54" s="89"/>
      <c r="B54" s="5"/>
      <c r="C54" s="708">
        <v>8</v>
      </c>
      <c r="D54" s="425" t="str">
        <f>HLOOKUP($G$19,$W$24:$X$52,13,FALSE)</f>
        <v>Tilsæt salt og resten af melet og rør sammen.</v>
      </c>
      <c r="E54" s="425"/>
      <c r="F54" s="425"/>
      <c r="G54" s="425"/>
      <c r="H54" s="425"/>
      <c r="I54" s="5"/>
      <c r="J54" s="5"/>
      <c r="K54" s="5"/>
      <c r="L54" s="933" t="str">
        <f>ROUND(L30,0)&amp;" g. salt og ~"&amp;ROUND(L28/2,0)&amp;" g. mel"&amp;IF(L31&lt;&gt;0,", "&amp;ROUND(L31,0)&amp;" g. olie.","")</f>
        <v>25 g. salt og ~389 g. mel</v>
      </c>
      <c r="M54" s="141"/>
      <c r="O54" s="178"/>
      <c r="P54" s="89"/>
      <c r="Q54" s="89"/>
      <c r="R54" s="134"/>
      <c r="S54" s="93"/>
      <c r="T54" s="89"/>
      <c r="U54" s="89"/>
      <c r="V54" s="89"/>
      <c r="X54" s="43" t="s">
        <v>299</v>
      </c>
      <c r="Y54" s="53" t="s">
        <v>809</v>
      </c>
      <c r="Z54" s="911" t="s">
        <v>756</v>
      </c>
    </row>
    <row r="55" spans="1:32" customFormat="1" ht="15.75">
      <c r="A55" s="89"/>
      <c r="B55" s="5"/>
      <c r="C55" s="708"/>
      <c r="D55" s="425"/>
      <c r="E55" s="425"/>
      <c r="F55" s="425"/>
      <c r="G55" s="425"/>
      <c r="H55" s="425"/>
      <c r="I55" s="5"/>
      <c r="J55" s="5"/>
      <c r="K55" s="5"/>
      <c r="L55" s="13"/>
      <c r="M55" s="11"/>
      <c r="O55" s="178"/>
      <c r="P55" s="89"/>
      <c r="Q55" s="89"/>
      <c r="R55" s="134"/>
      <c r="S55" s="93"/>
      <c r="T55" s="89"/>
      <c r="U55" s="89"/>
      <c r="V55" s="89"/>
      <c r="X55" s="44" t="s">
        <v>385</v>
      </c>
      <c r="Y55" s="45" t="s">
        <v>385</v>
      </c>
      <c r="Z55" s="912">
        <v>1</v>
      </c>
    </row>
    <row r="56" spans="1:32" customFormat="1" ht="15.75">
      <c r="A56" s="89"/>
      <c r="B56" s="5"/>
      <c r="C56" s="708">
        <v>9</v>
      </c>
      <c r="D56" s="425" t="str">
        <f>HLOOKUP($G$19,$W$24:$X$52,15,FALSE)</f>
        <v>Vend dejen ud på bordet og lad den hvile tildækket i 15 min.</v>
      </c>
      <c r="E56" s="425"/>
      <c r="F56" s="425"/>
      <c r="G56" s="425"/>
      <c r="H56" s="425"/>
      <c r="I56" s="5"/>
      <c r="J56" s="5"/>
      <c r="K56" s="5"/>
      <c r="L56" s="5"/>
      <c r="M56" s="11"/>
      <c r="O56" s="178"/>
      <c r="P56" s="89"/>
      <c r="Q56" s="89"/>
      <c r="R56" s="134"/>
      <c r="S56" s="93"/>
      <c r="T56" s="89"/>
      <c r="U56" s="89"/>
      <c r="V56" s="89"/>
      <c r="X56" s="44" t="s">
        <v>810</v>
      </c>
      <c r="Y56" s="45" t="s">
        <v>376</v>
      </c>
      <c r="Z56" s="913">
        <v>4</v>
      </c>
    </row>
    <row r="57" spans="1:32" customFormat="1" ht="15.75">
      <c r="A57" s="89"/>
      <c r="B57" s="5"/>
      <c r="C57" s="940" t="str">
        <f>IF(G15="Poolish + autolysis",10,"")</f>
        <v/>
      </c>
      <c r="D57" s="425" t="str">
        <f>HLOOKUP($G$19,$W$24:$X$52,16,FALSE)</f>
        <v xml:space="preserve"> </v>
      </c>
      <c r="E57" s="425"/>
      <c r="F57" s="425"/>
      <c r="G57" s="425"/>
      <c r="H57" s="425"/>
      <c r="I57" s="5"/>
      <c r="J57" s="5"/>
      <c r="K57" s="5"/>
      <c r="L57" s="5"/>
      <c r="M57" s="11"/>
      <c r="O57" s="178"/>
      <c r="P57" s="89"/>
      <c r="Q57" s="89"/>
      <c r="R57" s="134"/>
      <c r="S57" s="93"/>
      <c r="T57" s="89"/>
      <c r="U57" s="89"/>
      <c r="V57" s="89"/>
      <c r="X57" s="44" t="s">
        <v>811</v>
      </c>
      <c r="Y57" s="45" t="s">
        <v>376</v>
      </c>
      <c r="Z57" s="913">
        <v>3</v>
      </c>
    </row>
    <row r="58" spans="1:32" customFormat="1" ht="15.75">
      <c r="A58" s="89"/>
      <c r="B58" s="5"/>
      <c r="C58" s="902"/>
      <c r="D58" s="425"/>
      <c r="E58" s="425"/>
      <c r="F58" s="425"/>
      <c r="G58" s="425"/>
      <c r="H58" s="425"/>
      <c r="I58" s="5"/>
      <c r="J58" s="5"/>
      <c r="K58" s="5"/>
      <c r="L58" s="894"/>
      <c r="M58" s="11"/>
      <c r="O58" s="178"/>
      <c r="P58" s="89"/>
      <c r="Q58" s="89"/>
      <c r="R58" s="134"/>
      <c r="S58" s="93"/>
      <c r="T58" s="89"/>
      <c r="U58" s="89"/>
      <c r="V58" s="89"/>
      <c r="X58" s="44" t="s">
        <v>805</v>
      </c>
      <c r="Y58" s="45" t="s">
        <v>808</v>
      </c>
      <c r="Z58" s="914">
        <v>3</v>
      </c>
    </row>
    <row r="59" spans="1:32" customFormat="1" ht="15.75">
      <c r="A59" s="89"/>
      <c r="B59" s="5"/>
      <c r="C59" s="941"/>
      <c r="D59" s="935" t="str">
        <f>HLOOKUP($G$19,$W$24:$X$52,18,FALSE)</f>
        <v>Tip: Fra nu af skal du sørge for holde overside af dejen op under hele processen.</v>
      </c>
      <c r="E59" s="892"/>
      <c r="F59" s="892"/>
      <c r="G59" s="892"/>
      <c r="H59" s="892"/>
      <c r="I59" s="931"/>
      <c r="J59" s="931"/>
      <c r="K59" s="5"/>
      <c r="L59" s="5"/>
      <c r="M59" s="11"/>
      <c r="O59" s="178"/>
      <c r="P59" s="89"/>
      <c r="Q59" s="89"/>
      <c r="R59" s="134"/>
      <c r="S59" s="93"/>
      <c r="T59" s="89"/>
      <c r="U59" s="89"/>
      <c r="V59" s="89"/>
      <c r="X59" s="909" t="s">
        <v>764</v>
      </c>
      <c r="Y59" s="965" t="str">
        <f>VLOOKUP(M17,X55:Y58,2,FALSE)</f>
        <v>tørgær</v>
      </c>
      <c r="Z59" s="966">
        <f>VLOOKUP(M17,X55:Z58,3,FALSE)</f>
        <v>1</v>
      </c>
    </row>
    <row r="60" spans="1:32" customFormat="1" ht="15.75">
      <c r="A60" s="89"/>
      <c r="B60" s="5"/>
      <c r="C60" s="902"/>
      <c r="D60" s="425"/>
      <c r="E60" s="425"/>
      <c r="F60" s="425"/>
      <c r="G60" s="425"/>
      <c r="H60" s="425"/>
      <c r="I60" s="5"/>
      <c r="J60" s="5"/>
      <c r="K60" s="5"/>
      <c r="L60" s="5"/>
      <c r="M60" s="11"/>
      <c r="O60" s="178"/>
      <c r="P60" s="89"/>
      <c r="Q60" s="89"/>
      <c r="R60" s="134"/>
      <c r="S60" s="93"/>
      <c r="T60" s="89"/>
      <c r="U60" s="89"/>
      <c r="V60" s="89"/>
    </row>
    <row r="61" spans="1:32" customFormat="1" ht="15.75">
      <c r="A61" s="89"/>
      <c r="B61" s="5"/>
      <c r="C61" s="708">
        <f>IF(G15="Poolish + autolysis",C56+2,10)</f>
        <v>10</v>
      </c>
      <c r="D61" s="425" t="str">
        <f>HLOOKUP($G$19,$W$24:$X$52,20,FALSE)</f>
        <v>Virk dejen op til glat overflade.</v>
      </c>
      <c r="E61" s="425"/>
      <c r="F61" s="425"/>
      <c r="G61" s="425"/>
      <c r="H61" s="425"/>
      <c r="I61" s="5"/>
      <c r="J61" s="5"/>
      <c r="K61" s="5"/>
      <c r="L61" s="5"/>
      <c r="M61" s="11"/>
      <c r="O61" s="178"/>
      <c r="P61" s="89"/>
      <c r="Q61" s="89"/>
      <c r="R61" s="134"/>
      <c r="S61" s="93"/>
      <c r="T61" s="89"/>
      <c r="U61" s="89"/>
      <c r="V61" s="89"/>
    </row>
    <row r="62" spans="1:32" customFormat="1" ht="15.75">
      <c r="A62" s="89"/>
      <c r="B62" s="5"/>
      <c r="C62" s="939"/>
      <c r="D62" s="105"/>
      <c r="E62" s="105"/>
      <c r="F62" s="105"/>
      <c r="G62" s="105"/>
      <c r="H62" s="105"/>
      <c r="M62" s="1"/>
      <c r="O62" s="178"/>
      <c r="P62" s="89"/>
      <c r="Q62" s="89"/>
      <c r="R62" s="134"/>
      <c r="S62" s="93"/>
      <c r="T62" s="89"/>
      <c r="U62" s="89"/>
      <c r="V62" s="89"/>
    </row>
    <row r="63" spans="1:32" customFormat="1" ht="15.75">
      <c r="A63" s="89"/>
      <c r="B63" s="5"/>
      <c r="C63" s="708">
        <f>IF(G15="Poolish + autolysis",C56+3,11)</f>
        <v>11</v>
      </c>
      <c r="D63" s="425" t="str">
        <f>HLOOKUP($G$19,$W$24:$X$52,21,FALSE)</f>
        <v>Læg dejen i en skål og lad dejen hæve 30-60 min. ved stuetemperatur.</v>
      </c>
      <c r="E63" s="425"/>
      <c r="F63" s="425"/>
      <c r="G63" s="425"/>
      <c r="H63" s="425"/>
      <c r="I63" s="5"/>
      <c r="J63" s="5"/>
      <c r="K63" s="5"/>
      <c r="L63" s="5"/>
      <c r="M63" s="11"/>
      <c r="O63" s="178"/>
      <c r="P63" s="89"/>
      <c r="Q63" s="89"/>
      <c r="R63" s="134"/>
      <c r="S63" s="93"/>
      <c r="T63" s="89"/>
      <c r="U63" s="89"/>
      <c r="V63" s="89"/>
    </row>
    <row r="64" spans="1:32" customFormat="1" ht="15.75">
      <c r="A64" s="89"/>
      <c r="B64" s="5"/>
      <c r="C64" s="936"/>
      <c r="D64" s="896" t="str">
        <f>HLOOKUP($G$19,$W$24:$X$52,22,FALSE)</f>
        <v xml:space="preserve"> </v>
      </c>
      <c r="E64" s="425"/>
      <c r="F64" s="425"/>
      <c r="G64" s="425"/>
      <c r="H64" s="425"/>
      <c r="I64" s="5"/>
      <c r="J64" s="5"/>
      <c r="K64" s="5"/>
      <c r="L64" s="895"/>
      <c r="M64" s="895"/>
      <c r="O64" s="178"/>
      <c r="P64" s="89"/>
      <c r="Q64" s="89"/>
      <c r="R64" s="134"/>
      <c r="S64" s="93"/>
      <c r="T64" s="89"/>
      <c r="U64" s="89"/>
      <c r="V64" s="89"/>
    </row>
    <row r="65" spans="1:22" customFormat="1" ht="15.75">
      <c r="A65" s="89"/>
      <c r="B65" s="5"/>
      <c r="C65" s="902" t="str">
        <f>IF(G15="Poolish double fermented","Dag 3 - Spisetid","")</f>
        <v/>
      </c>
      <c r="D65" s="425"/>
      <c r="E65" s="425"/>
      <c r="F65" s="425"/>
      <c r="G65" s="425"/>
      <c r="H65" s="425"/>
      <c r="I65" s="5"/>
      <c r="J65" s="5"/>
      <c r="K65" s="5"/>
      <c r="L65" s="895"/>
      <c r="M65" s="895"/>
      <c r="O65" s="178"/>
      <c r="P65" s="89"/>
      <c r="Q65" s="89"/>
      <c r="R65" s="134"/>
      <c r="S65" s="93"/>
      <c r="T65" s="89"/>
      <c r="U65" s="89"/>
      <c r="V65" s="89"/>
    </row>
    <row r="66" spans="1:22" customFormat="1" ht="15.75">
      <c r="A66" s="89"/>
      <c r="B66" s="5"/>
      <c r="C66" s="708">
        <f>IF(G15="Poolish + autolysis",C56+4,12)</f>
        <v>12</v>
      </c>
      <c r="D66" s="425" t="str">
        <f>HLOOKUP($G$19,$W$24:$X$52,24,FALSE)</f>
        <v>Vend dejen ud på bordet.</v>
      </c>
      <c r="E66" s="425"/>
      <c r="F66" s="425"/>
      <c r="G66" s="425"/>
      <c r="H66" s="425"/>
      <c r="I66" s="5"/>
      <c r="J66" s="5"/>
      <c r="K66" s="5"/>
      <c r="L66" s="895"/>
      <c r="M66" s="895"/>
      <c r="O66" s="178"/>
      <c r="P66" s="89"/>
      <c r="Q66" s="89"/>
      <c r="R66" s="134"/>
      <c r="S66" s="93"/>
      <c r="T66" s="89"/>
      <c r="U66" s="89"/>
      <c r="V66" s="89"/>
    </row>
    <row r="67" spans="1:22" customFormat="1" ht="15.75">
      <c r="A67" s="89"/>
      <c r="B67" s="5"/>
      <c r="C67" s="939"/>
      <c r="D67" s="105"/>
      <c r="E67" s="105"/>
      <c r="F67" s="105"/>
      <c r="G67" s="105"/>
      <c r="H67" s="105"/>
      <c r="M67" s="1"/>
      <c r="O67" s="178"/>
      <c r="P67" s="89"/>
      <c r="Q67" s="89"/>
      <c r="R67" s="134"/>
      <c r="S67" s="93"/>
      <c r="T67" s="89"/>
      <c r="U67" s="89"/>
      <c r="V67" s="89"/>
    </row>
    <row r="68" spans="1:22" customFormat="1" ht="15.75">
      <c r="A68" s="89"/>
      <c r="B68" s="5"/>
      <c r="C68" s="708">
        <f>IF(G15="Poolish + autolysis",C56+5,13)</f>
        <v>13</v>
      </c>
      <c r="D68" s="425" t="str">
        <f>HLOOKUP($G$19,$W$24:$X$52,25,FALSE)</f>
        <v>Del dejen i 6 klumper af ca. 270 g.</v>
      </c>
      <c r="E68" s="425"/>
      <c r="F68" s="425"/>
      <c r="G68" s="425"/>
      <c r="H68" s="425"/>
      <c r="I68" s="5"/>
      <c r="J68" s="5"/>
      <c r="K68" s="5"/>
      <c r="L68" s="5"/>
      <c r="M68" s="11"/>
      <c r="O68" s="178"/>
      <c r="P68" s="89"/>
      <c r="Q68" s="89"/>
      <c r="R68" s="134"/>
      <c r="S68" s="93"/>
      <c r="T68" s="89"/>
      <c r="U68" s="89"/>
      <c r="V68" s="89"/>
    </row>
    <row r="69" spans="1:22" customFormat="1" ht="15.75">
      <c r="A69" s="89"/>
      <c r="B69" s="5"/>
      <c r="C69" s="939"/>
      <c r="D69" s="105"/>
      <c r="E69" s="105"/>
      <c r="F69" s="105"/>
      <c r="G69" s="105"/>
      <c r="H69" s="105"/>
      <c r="M69" s="1"/>
      <c r="O69" s="178"/>
      <c r="P69" s="89"/>
      <c r="Q69" s="89"/>
      <c r="R69" s="134"/>
      <c r="S69" s="93"/>
      <c r="T69" s="89"/>
      <c r="U69" s="89"/>
      <c r="V69" s="89"/>
    </row>
    <row r="70" spans="1:22" customFormat="1" ht="15.75">
      <c r="A70" s="89"/>
      <c r="B70" s="5"/>
      <c r="C70" s="708">
        <f>IF(G15="Poolish + autolysis",C56+6,14)</f>
        <v>14</v>
      </c>
      <c r="D70" s="425" t="str">
        <f>HLOOKUP($G$19,$W$24:$X$52,26,FALSE)</f>
        <v>Stram dejkuglerne op og lad dem hæve 2 timer ved stuetemperatur.</v>
      </c>
      <c r="E70" s="425"/>
      <c r="F70" s="425"/>
      <c r="G70" s="425"/>
      <c r="H70" s="425"/>
      <c r="I70" s="5"/>
      <c r="J70" s="5"/>
      <c r="K70" s="5"/>
      <c r="L70" s="5"/>
      <c r="M70" s="11"/>
      <c r="O70" s="178"/>
      <c r="P70" s="89"/>
      <c r="Q70" s="89"/>
      <c r="R70" s="134"/>
      <c r="S70" s="93"/>
      <c r="T70" s="89"/>
      <c r="U70" s="89"/>
      <c r="V70" s="89"/>
    </row>
    <row r="71" spans="1:22" customFormat="1" ht="15.75">
      <c r="A71" s="89"/>
      <c r="B71" s="5"/>
      <c r="C71" s="902"/>
      <c r="D71" s="425" t="str">
        <f>HLOOKUP($G$19,$W$24:$X$52,27,FALSE)</f>
        <v xml:space="preserve"> </v>
      </c>
      <c r="E71" s="425"/>
      <c r="F71" s="425"/>
      <c r="G71" s="425"/>
      <c r="H71" s="425"/>
      <c r="I71" s="5"/>
      <c r="J71" s="5"/>
      <c r="K71" s="5"/>
      <c r="L71" s="5"/>
      <c r="M71" s="11"/>
      <c r="O71" s="178"/>
      <c r="P71" s="89"/>
      <c r="Q71" s="89"/>
      <c r="R71" s="134"/>
      <c r="S71" s="93"/>
      <c r="T71" s="89"/>
      <c r="U71" s="89"/>
      <c r="V71" s="89"/>
    </row>
    <row r="72" spans="1:22" customFormat="1" ht="15.75">
      <c r="A72" s="89"/>
      <c r="B72" s="5"/>
      <c r="C72" s="939"/>
      <c r="D72" s="105"/>
      <c r="E72" s="105"/>
      <c r="F72" s="105"/>
      <c r="G72" s="105"/>
      <c r="H72" s="105"/>
      <c r="M72" s="1"/>
      <c r="O72" s="178"/>
      <c r="P72" s="89"/>
      <c r="Q72" s="89"/>
      <c r="R72" s="134"/>
      <c r="S72" s="93"/>
      <c r="T72" s="89"/>
      <c r="U72" s="89"/>
      <c r="V72" s="89"/>
    </row>
    <row r="73" spans="1:22" customFormat="1" ht="15.75">
      <c r="A73" s="89"/>
      <c r="B73" s="5"/>
      <c r="C73" s="708">
        <f>IF(D73=" ","",15)</f>
        <v>15</v>
      </c>
      <c r="D73" s="896" t="str">
        <f>HLOOKUP($G$19,$W$24:$X$52,28,FALSE)</f>
        <v>Voila!</v>
      </c>
      <c r="E73" s="425"/>
      <c r="F73" s="425"/>
      <c r="G73" s="425"/>
      <c r="H73" s="425"/>
      <c r="I73" s="5"/>
      <c r="J73" s="5"/>
      <c r="K73" s="5"/>
      <c r="L73" s="5"/>
      <c r="M73" s="11"/>
      <c r="O73" s="178"/>
      <c r="P73" s="89"/>
      <c r="Q73" s="89"/>
      <c r="R73" s="134"/>
      <c r="S73" s="93"/>
      <c r="T73" s="89"/>
      <c r="U73" s="89"/>
      <c r="V73" s="89"/>
    </row>
    <row r="74" spans="1:22" customFormat="1" ht="15.75">
      <c r="A74" s="89"/>
      <c r="B74" s="5"/>
      <c r="C74" s="902"/>
      <c r="D74" s="896" t="str">
        <f>HLOOKUP($G$19,$W$24:$X$52,29,FALSE)</f>
        <v xml:space="preserve"> </v>
      </c>
      <c r="E74" s="425"/>
      <c r="F74" s="425"/>
      <c r="G74" s="425"/>
      <c r="H74" s="425"/>
      <c r="I74" s="5"/>
      <c r="J74" s="5"/>
      <c r="K74" s="5"/>
      <c r="L74" s="5"/>
      <c r="M74" s="11"/>
      <c r="O74" s="178"/>
      <c r="P74" s="89"/>
      <c r="Q74" s="89"/>
      <c r="R74" s="134"/>
      <c r="S74" s="93"/>
      <c r="T74" s="89"/>
      <c r="U74" s="89"/>
      <c r="V74" s="89"/>
    </row>
    <row r="75" spans="1:22" customFormat="1" ht="15.75">
      <c r="A75" s="89"/>
      <c r="B75" s="5"/>
      <c r="C75" s="425"/>
      <c r="D75" s="425"/>
      <c r="E75" s="425"/>
      <c r="F75" s="425"/>
      <c r="G75" s="425"/>
      <c r="H75" s="425"/>
      <c r="I75" s="5"/>
      <c r="J75" s="5"/>
      <c r="K75" s="5"/>
      <c r="L75" s="5"/>
      <c r="M75" s="11"/>
      <c r="O75" s="178"/>
      <c r="P75" s="89"/>
      <c r="Q75" s="89"/>
      <c r="R75" s="134"/>
      <c r="S75" s="93"/>
      <c r="T75" s="89"/>
      <c r="U75" s="89"/>
      <c r="V75" s="89"/>
    </row>
    <row r="76" spans="1:22" customFormat="1" ht="15.75">
      <c r="A76" s="89"/>
      <c r="B76" s="5"/>
      <c r="C76" s="425"/>
      <c r="D76" s="425"/>
      <c r="E76" s="425"/>
      <c r="F76" s="425"/>
      <c r="G76" s="425"/>
      <c r="H76" s="425"/>
      <c r="I76" s="5"/>
      <c r="J76" s="5"/>
      <c r="K76" s="5"/>
      <c r="M76" s="769" t="s">
        <v>523</v>
      </c>
      <c r="O76" s="178"/>
      <c r="P76" s="89"/>
      <c r="Q76" s="89"/>
      <c r="R76" s="134"/>
      <c r="S76" s="93"/>
      <c r="T76" s="89"/>
      <c r="U76" s="89"/>
      <c r="V76" s="89"/>
    </row>
    <row r="77" spans="1:22" customFormat="1" ht="15">
      <c r="A77" s="89"/>
      <c r="B77" s="5"/>
      <c r="C77" s="5"/>
      <c r="D77" s="5"/>
      <c r="E77" s="5"/>
      <c r="F77" s="5"/>
      <c r="G77" s="5"/>
      <c r="H77" s="5"/>
      <c r="I77" s="5"/>
      <c r="J77" s="5"/>
      <c r="K77" s="5"/>
      <c r="L77" s="769"/>
      <c r="M77" s="769"/>
      <c r="O77" s="178"/>
      <c r="P77" s="89"/>
      <c r="Q77" s="89"/>
      <c r="R77" s="134"/>
      <c r="S77" s="93"/>
      <c r="T77" s="89"/>
      <c r="U77" s="89"/>
      <c r="V77" s="89"/>
    </row>
    <row r="78" spans="1:22" customFormat="1" ht="15">
      <c r="A78" s="89"/>
      <c r="B78" s="89"/>
      <c r="C78" s="89"/>
      <c r="D78" s="89"/>
      <c r="E78" s="89"/>
      <c r="F78" s="89"/>
      <c r="G78" s="89"/>
      <c r="H78" s="89"/>
      <c r="I78" s="89"/>
      <c r="J78" s="89"/>
      <c r="K78" s="89"/>
      <c r="L78" s="89"/>
      <c r="M78" s="90"/>
      <c r="N78" s="89"/>
      <c r="O78" s="89"/>
      <c r="P78" s="89"/>
      <c r="Q78" s="89"/>
      <c r="R78" s="134"/>
      <c r="S78" s="93"/>
      <c r="T78" s="89"/>
      <c r="U78" s="89"/>
      <c r="V78" s="89"/>
    </row>
  </sheetData>
  <sheetProtection algorithmName="SHA-512" hashValue="UVGHNR6ojc2GXuxx9436USiDjg+r3SSwtbIJR4hWa25Q8AmateFDU28oN2Yj8Uu5f/XDMRXc1aK6y1hHt5UWhg==" saltValue="c95b9bkjdigsbMzjRBp6Lg==" spinCount="100000" sheet="1" objects="1" scenarios="1" selectLockedCells="1"/>
  <mergeCells count="22">
    <mergeCell ref="D10:D11"/>
    <mergeCell ref="C17:D18"/>
    <mergeCell ref="I1:M4"/>
    <mergeCell ref="E6:E7"/>
    <mergeCell ref="H6:I7"/>
    <mergeCell ref="D2:H3"/>
    <mergeCell ref="N17:O17"/>
    <mergeCell ref="T36:T38"/>
    <mergeCell ref="H8:I9"/>
    <mergeCell ref="H10:I11"/>
    <mergeCell ref="E8:E9"/>
    <mergeCell ref="E10:E11"/>
    <mergeCell ref="E17:E18"/>
    <mergeCell ref="C22:H24"/>
    <mergeCell ref="G19:H19"/>
    <mergeCell ref="G15:H15"/>
    <mergeCell ref="D31:G32"/>
    <mergeCell ref="B6:C12"/>
    <mergeCell ref="H26:M26"/>
    <mergeCell ref="H25:M25"/>
    <mergeCell ref="D6:D7"/>
    <mergeCell ref="D8:D9"/>
  </mergeCells>
  <conditionalFormatting sqref="C65:M65">
    <cfRule type="expression" dxfId="8" priority="1">
      <formula>$G$15="Poolish double fermented"</formula>
    </cfRule>
  </conditionalFormatting>
  <dataValidations count="6">
    <dataValidation type="list" allowBlank="1" showInputMessage="1" showErrorMessage="1" sqref="G15" xr:uid="{C9A6C044-36F7-4B4E-A302-0CC29F896FE4}">
      <formula1>"Poolish,Poolish + autolysis,Poolish double fermented"</formula1>
    </dataValidation>
    <dataValidation allowBlank="1" showInputMessage="1" showErrorMessage="1" promptTitle="Anbefaling" prompt="24-27°_x000a_Dejtemperaturen har meget stor betydning for det endelieg resultat." sqref="T32" xr:uid="{AE6411B3-6365-4A9A-85C1-121F45BEA182}"/>
    <dataValidation allowBlank="1" promptTitle="Forslag" prompt="Ca. 4% tørret surdej._x000a_F.eks. Grand Farine Levain eller Caputo Criscito._x000a_" sqref="L19" xr:uid="{421531F9-5B60-4D26-B18B-54E5C616CAD6}"/>
    <dataValidation allowBlank="1" sqref="L19 M18:M19" xr:uid="{E83070B1-57BD-4830-B699-AE3F25D22DBC}"/>
    <dataValidation type="list" allowBlank="1" showInputMessage="1" showErrorMessage="1" sqref="G19" xr:uid="{5347226E-90AF-4D6B-9029-12CE76CDD83B}">
      <formula1>"Simpel,Udførlig"</formula1>
    </dataValidation>
    <dataValidation type="list" allowBlank="1" showErrorMessage="1" sqref="M17" xr:uid="{B41A130E-364F-4B19-B714-F79E311AD334}">
      <formula1>$X$55:$X$57</formula1>
    </dataValidation>
  </dataValidations>
  <pageMargins left="0.23622047244094491" right="0.23622047244094491" top="0.74803149606299213" bottom="0.74803149606299213" header="0.31496062992125984" footer="0.31496062992125984"/>
  <pageSetup paperSize="9" scale="7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CA9CC-DDC9-42CA-945F-316E9A7D87C0}">
  <sheetPr codeName="Ark4">
    <tabColor rgb="FFFFFFCC"/>
    <pageSetUpPr fitToPage="1"/>
  </sheetPr>
  <dimension ref="A1:U57"/>
  <sheetViews>
    <sheetView showGridLines="0" showRowColHeaders="0" zoomScaleNormal="100" workbookViewId="0">
      <pane ySplit="4" topLeftCell="A5" activePane="bottomLeft" state="frozen"/>
      <selection activeCell="C2" sqref="C2:I3"/>
      <selection pane="bottomLeft" activeCell="F16" sqref="F16"/>
    </sheetView>
  </sheetViews>
  <sheetFormatPr defaultColWidth="0" defaultRowHeight="15" zeroHeight="1"/>
  <cols>
    <col min="1" max="2" width="3.5703125" customWidth="1"/>
    <col min="3" max="3" width="6.85546875" customWidth="1"/>
    <col min="4" max="4" width="31.42578125" customWidth="1"/>
    <col min="5" max="5" width="2.5703125" customWidth="1"/>
    <col min="6" max="6" width="21" customWidth="1"/>
    <col min="7" max="7" width="7.5703125" bestFit="1" customWidth="1"/>
    <col min="8" max="8" width="7.7109375" customWidth="1"/>
    <col min="9" max="9" width="9.85546875" customWidth="1"/>
    <col min="10" max="10" width="26.140625" customWidth="1"/>
    <col min="11" max="11" width="12.28515625" customWidth="1"/>
    <col min="12" max="12" width="1.7109375" customWidth="1"/>
    <col min="13" max="13" width="3.28515625" customWidth="1"/>
    <col min="14" max="14" width="9.140625" hidden="1" customWidth="1"/>
    <col min="15" max="15" width="14.85546875" hidden="1" customWidth="1"/>
    <col min="16" max="16" width="13.140625" hidden="1" customWidth="1"/>
    <col min="17" max="17" width="14.7109375" hidden="1" customWidth="1"/>
    <col min="18" max="19" width="9.140625" hidden="1" customWidth="1"/>
    <col min="20" max="20" width="13.85546875" hidden="1" customWidth="1"/>
    <col min="21" max="21" width="21.7109375" hidden="1" customWidth="1"/>
    <col min="22" max="16384" width="9.140625" hidden="1"/>
  </cols>
  <sheetData>
    <row r="1" spans="1:21">
      <c r="A1" s="217"/>
      <c r="B1" s="217"/>
      <c r="C1" s="217"/>
      <c r="D1" s="1911" t="s">
        <v>1315</v>
      </c>
      <c r="E1" s="1911"/>
      <c r="F1" s="1911"/>
      <c r="G1" s="1911"/>
      <c r="H1" s="1911"/>
      <c r="I1" s="217"/>
      <c r="J1" s="217"/>
      <c r="K1" s="217"/>
      <c r="L1" s="217"/>
      <c r="M1" s="217"/>
    </row>
    <row r="2" spans="1:21">
      <c r="A2" s="217"/>
      <c r="B2" s="217"/>
      <c r="C2" s="217"/>
      <c r="D2" s="1911"/>
      <c r="E2" s="1911"/>
      <c r="F2" s="1911"/>
      <c r="G2" s="1911"/>
      <c r="H2" s="1911"/>
      <c r="I2" s="217"/>
      <c r="J2" s="219"/>
      <c r="K2" s="219"/>
      <c r="L2" s="217"/>
      <c r="M2" s="217"/>
    </row>
    <row r="3" spans="1:21">
      <c r="A3" s="217"/>
      <c r="B3" s="217"/>
      <c r="C3" s="217"/>
      <c r="D3" s="1911"/>
      <c r="E3" s="1911"/>
      <c r="F3" s="1911"/>
      <c r="G3" s="1911"/>
      <c r="H3" s="1911"/>
      <c r="I3" s="217"/>
      <c r="J3" s="217"/>
      <c r="K3" s="217"/>
      <c r="L3" s="217"/>
      <c r="M3" s="217"/>
    </row>
    <row r="4" spans="1:21" ht="15.75" thickBot="1">
      <c r="A4" s="253"/>
      <c r="B4" s="253"/>
      <c r="C4" s="253"/>
      <c r="D4" s="1912"/>
      <c r="E4" s="1912"/>
      <c r="F4" s="1912"/>
      <c r="G4" s="1912"/>
      <c r="H4" s="1912"/>
      <c r="I4" s="253"/>
      <c r="J4" s="253"/>
      <c r="K4" s="253"/>
      <c r="L4" s="253"/>
      <c r="M4" s="253"/>
    </row>
    <row r="5" spans="1:21" s="368" customFormat="1" ht="21.75" customHeight="1" thickTop="1">
      <c r="A5" s="98"/>
      <c r="B5" s="98"/>
      <c r="C5" s="108" t="s">
        <v>987</v>
      </c>
      <c r="D5" s="98"/>
      <c r="E5" s="98"/>
      <c r="F5" s="98"/>
      <c r="G5" s="98"/>
      <c r="H5" s="98"/>
      <c r="I5" s="98"/>
      <c r="J5" s="98"/>
      <c r="K5" s="98"/>
      <c r="L5" s="98"/>
      <c r="M5" s="98"/>
    </row>
    <row r="6" spans="1:21" s="368" customFormat="1" ht="18.75">
      <c r="A6" s="98"/>
      <c r="B6" s="98"/>
      <c r="C6" s="108" t="s">
        <v>212</v>
      </c>
      <c r="D6" s="98"/>
      <c r="E6" s="98"/>
      <c r="F6" s="98"/>
      <c r="G6" s="98"/>
      <c r="H6" s="1534" t="s">
        <v>997</v>
      </c>
      <c r="I6" s="98"/>
      <c r="J6" s="98"/>
      <c r="K6" s="98"/>
      <c r="L6" s="98"/>
      <c r="M6" s="98"/>
    </row>
    <row r="7" spans="1:21" s="368" customFormat="1" ht="15.75">
      <c r="A7" s="98"/>
      <c r="B7" s="98"/>
      <c r="C7" s="98"/>
      <c r="D7" s="98"/>
      <c r="E7" s="98"/>
      <c r="F7" s="98"/>
      <c r="G7" s="98"/>
      <c r="H7" s="1301" t="s">
        <v>988</v>
      </c>
      <c r="I7" s="209"/>
      <c r="J7" s="98"/>
      <c r="K7" s="98"/>
      <c r="L7" s="98"/>
      <c r="M7" s="98"/>
      <c r="T7" s="1915">
        <v>1</v>
      </c>
      <c r="U7" s="1321" t="s">
        <v>1022</v>
      </c>
    </row>
    <row r="8" spans="1:21" s="105" customFormat="1" ht="15.75">
      <c r="A8" s="103"/>
      <c r="B8" s="103"/>
      <c r="C8" s="990" t="s">
        <v>1001</v>
      </c>
      <c r="D8" s="991"/>
      <c r="E8" s="103"/>
      <c r="F8" s="475" t="s">
        <v>8</v>
      </c>
      <c r="G8" s="1314">
        <v>6</v>
      </c>
      <c r="H8" s="1301" t="s">
        <v>989</v>
      </c>
      <c r="I8" s="209"/>
      <c r="J8" s="104"/>
      <c r="K8" s="104"/>
      <c r="L8" s="104"/>
      <c r="M8" s="104"/>
      <c r="T8" s="1915"/>
      <c r="U8" s="1321" t="s">
        <v>1023</v>
      </c>
    </row>
    <row r="9" spans="1:21" ht="15.75">
      <c r="A9" s="98"/>
      <c r="B9" s="98"/>
      <c r="C9" s="994">
        <v>200</v>
      </c>
      <c r="D9" s="995" t="str">
        <f>"g kold vand (hydrering "&amp;ROUND((C9/(C12+C13))*100,0)&amp;"%)"</f>
        <v>g kold vand (hydrering 67%)</v>
      </c>
      <c r="E9" s="98"/>
      <c r="F9" s="475" t="s">
        <v>9</v>
      </c>
      <c r="G9" s="1313">
        <v>270</v>
      </c>
      <c r="H9" s="1301" t="s">
        <v>990</v>
      </c>
      <c r="I9" s="209"/>
      <c r="J9" s="104"/>
      <c r="K9" s="110"/>
      <c r="L9" s="98"/>
      <c r="M9" s="98"/>
      <c r="T9" s="1322">
        <v>0.66666666666666596</v>
      </c>
      <c r="U9" s="1321" t="s">
        <v>419</v>
      </c>
    </row>
    <row r="10" spans="1:21" ht="15.75">
      <c r="A10" s="98"/>
      <c r="B10" s="98"/>
      <c r="C10" s="996">
        <v>10</v>
      </c>
      <c r="D10" s="995" t="s">
        <v>182</v>
      </c>
      <c r="E10" s="98"/>
      <c r="F10" s="134"/>
      <c r="G10" s="1319">
        <f>G8*G9</f>
        <v>1620</v>
      </c>
      <c r="H10" s="1301"/>
      <c r="I10" s="209"/>
      <c r="J10" s="104"/>
      <c r="K10" s="110"/>
      <c r="L10" s="98"/>
      <c r="M10" s="98"/>
      <c r="O10" s="43" t="s">
        <v>299</v>
      </c>
      <c r="P10" s="53" t="s">
        <v>809</v>
      </c>
      <c r="Q10" s="1317" t="s">
        <v>756</v>
      </c>
      <c r="T10" s="1323">
        <f>3.3333333%/Q15</f>
        <v>3.3333333E-2</v>
      </c>
      <c r="U10" s="1321" t="str">
        <f>P15</f>
        <v>frisk gær</v>
      </c>
    </row>
    <row r="11" spans="1:21" ht="15.75">
      <c r="A11" s="98"/>
      <c r="B11" s="98"/>
      <c r="C11" s="994">
        <v>4.2</v>
      </c>
      <c r="D11" s="995" t="s">
        <v>202</v>
      </c>
      <c r="E11" s="98"/>
      <c r="F11" s="134"/>
      <c r="G11" s="1315"/>
      <c r="H11" s="1303" t="s">
        <v>996</v>
      </c>
      <c r="I11" s="209"/>
      <c r="J11" s="104"/>
      <c r="K11" s="110"/>
      <c r="L11" s="98"/>
      <c r="M11" s="98"/>
      <c r="O11" s="44" t="s">
        <v>376</v>
      </c>
      <c r="P11" s="45" t="s">
        <v>376</v>
      </c>
      <c r="Q11" s="912">
        <v>1</v>
      </c>
      <c r="T11" s="1324">
        <v>2.33333333333333E-2</v>
      </c>
      <c r="U11" s="1321" t="s">
        <v>919</v>
      </c>
    </row>
    <row r="12" spans="1:21" ht="15.75">
      <c r="A12" s="98"/>
      <c r="B12" s="98"/>
      <c r="C12" s="994">
        <v>200</v>
      </c>
      <c r="D12" s="995" t="s">
        <v>205</v>
      </c>
      <c r="E12" s="98"/>
      <c r="F12" s="110" t="s">
        <v>999</v>
      </c>
      <c r="G12" s="1315"/>
      <c r="H12" s="1299" t="s">
        <v>995</v>
      </c>
      <c r="I12" s="209"/>
      <c r="J12" s="104"/>
      <c r="K12" s="110"/>
      <c r="L12" s="98"/>
      <c r="M12" s="98"/>
      <c r="O12" s="44" t="s">
        <v>807</v>
      </c>
      <c r="P12" s="45" t="s">
        <v>385</v>
      </c>
      <c r="Q12" s="913">
        <v>4</v>
      </c>
      <c r="T12" s="1322">
        <v>4.33333333333333E-2</v>
      </c>
      <c r="U12" s="1321" t="s">
        <v>646</v>
      </c>
    </row>
    <row r="13" spans="1:21" ht="15.75">
      <c r="A13" s="98"/>
      <c r="B13" s="98"/>
      <c r="C13" s="994">
        <v>100</v>
      </c>
      <c r="D13" s="995" t="s">
        <v>1027</v>
      </c>
      <c r="E13" s="98"/>
      <c r="F13" s="1318" t="s">
        <v>726</v>
      </c>
      <c r="G13" s="99"/>
      <c r="H13" s="1303" t="s">
        <v>1024</v>
      </c>
      <c r="I13" s="209"/>
      <c r="J13" s="104"/>
      <c r="K13" s="110"/>
      <c r="L13" s="98"/>
      <c r="M13" s="98"/>
      <c r="O13" s="44" t="s">
        <v>806</v>
      </c>
      <c r="P13" s="45" t="s">
        <v>385</v>
      </c>
      <c r="Q13" s="913">
        <v>3</v>
      </c>
      <c r="T13" s="1322">
        <v>2.33333333333E-2</v>
      </c>
      <c r="U13" s="1321" t="s">
        <v>375</v>
      </c>
    </row>
    <row r="14" spans="1:21" ht="15.75">
      <c r="A14" s="98"/>
      <c r="B14" s="98"/>
      <c r="C14" s="994">
        <v>13</v>
      </c>
      <c r="D14" s="995" t="s">
        <v>207</v>
      </c>
      <c r="E14" s="98"/>
      <c r="F14" s="132"/>
      <c r="G14" s="98"/>
      <c r="H14" s="1301" t="s">
        <v>993</v>
      </c>
      <c r="I14" s="209"/>
      <c r="J14" s="104"/>
      <c r="K14" s="110"/>
      <c r="L14" s="98"/>
      <c r="M14" s="98"/>
      <c r="O14" s="44" t="s">
        <v>805</v>
      </c>
      <c r="P14" s="45" t="s">
        <v>808</v>
      </c>
      <c r="Q14" s="914">
        <v>3</v>
      </c>
    </row>
    <row r="15" spans="1:21" ht="15.75">
      <c r="A15" s="98"/>
      <c r="B15" s="98"/>
      <c r="C15" s="992">
        <v>5</v>
      </c>
      <c r="D15" s="993" t="s">
        <v>29</v>
      </c>
      <c r="E15" s="98"/>
      <c r="F15" s="132" t="s">
        <v>1249</v>
      </c>
      <c r="G15" s="1740">
        <f>T10</f>
        <v>3.3333333E-2</v>
      </c>
      <c r="H15" s="1302" t="s">
        <v>994</v>
      </c>
      <c r="I15" s="209"/>
      <c r="J15" s="104"/>
      <c r="K15" s="110"/>
      <c r="L15" s="98"/>
      <c r="M15" s="98"/>
      <c r="O15" s="909" t="s">
        <v>764</v>
      </c>
      <c r="P15" s="910" t="str">
        <f>VLOOKUP(F16,O11:P14,2,FALSE)</f>
        <v>frisk gær</v>
      </c>
      <c r="Q15" s="921">
        <f>VLOOKUP(F16,O11:Q14,3,FALSE)</f>
        <v>1</v>
      </c>
    </row>
    <row r="16" spans="1:21" ht="15.75">
      <c r="A16" s="98"/>
      <c r="B16" s="98"/>
      <c r="C16" s="997">
        <f>SUM(C9:C15)</f>
        <v>532.20000000000005</v>
      </c>
      <c r="D16" s="998" t="s">
        <v>206</v>
      </c>
      <c r="E16" s="98"/>
      <c r="F16" s="1325" t="s">
        <v>376</v>
      </c>
      <c r="G16" s="98"/>
      <c r="H16" s="1300" t="s">
        <v>991</v>
      </c>
      <c r="I16" s="209"/>
      <c r="J16" s="104"/>
      <c r="K16" s="111"/>
      <c r="L16" s="102"/>
      <c r="M16" s="98"/>
      <c r="Q16" s="1316"/>
    </row>
    <row r="17" spans="1:16">
      <c r="A17" s="98"/>
      <c r="B17" s="98"/>
      <c r="C17" s="98"/>
      <c r="D17" s="98"/>
      <c r="E17" s="98"/>
      <c r="F17" s="98"/>
      <c r="G17" s="98"/>
      <c r="H17" s="1300" t="s">
        <v>992</v>
      </c>
      <c r="I17" s="98"/>
      <c r="J17" s="98"/>
      <c r="K17" s="98"/>
      <c r="L17" s="98"/>
      <c r="M17" s="98"/>
    </row>
    <row r="18" spans="1:16">
      <c r="A18" s="98"/>
      <c r="B18" s="98"/>
      <c r="C18" s="98"/>
      <c r="D18" s="98"/>
      <c r="E18" s="98"/>
      <c r="F18" s="98"/>
      <c r="G18" s="98"/>
      <c r="H18" s="98"/>
      <c r="I18" s="98"/>
      <c r="J18" s="100"/>
      <c r="K18" s="100"/>
      <c r="L18" s="100"/>
      <c r="M18" s="98"/>
    </row>
    <row r="19" spans="1:16" ht="15" customHeight="1">
      <c r="A19" s="98"/>
      <c r="B19" s="1677"/>
      <c r="C19" s="1913" t="str">
        <f>D1</f>
        <v>Gorms grunddej til pizza</v>
      </c>
      <c r="D19" s="1913"/>
      <c r="E19" s="1913"/>
      <c r="F19" s="1913"/>
      <c r="G19" s="1678"/>
      <c r="H19" s="1678"/>
      <c r="I19" s="1678"/>
      <c r="J19" s="1679"/>
      <c r="K19" s="1679"/>
      <c r="L19" s="1680"/>
      <c r="M19" s="98"/>
    </row>
    <row r="20" spans="1:16" ht="15.75" customHeight="1" thickBot="1">
      <c r="A20" s="98"/>
      <c r="B20" s="1681"/>
      <c r="C20" s="1914"/>
      <c r="D20" s="1914"/>
      <c r="E20" s="1914"/>
      <c r="F20" s="1914"/>
      <c r="G20" s="319"/>
      <c r="L20" s="1682"/>
      <c r="M20" s="98"/>
    </row>
    <row r="21" spans="1:16" ht="15" customHeight="1">
      <c r="A21" s="98"/>
      <c r="B21" s="1681"/>
      <c r="C21" s="1914"/>
      <c r="D21" s="1914"/>
      <c r="E21" s="1914"/>
      <c r="F21" s="1914"/>
      <c r="G21" s="303"/>
      <c r="L21" s="1528"/>
      <c r="M21" s="98"/>
    </row>
    <row r="22" spans="1:16" s="105" customFormat="1" ht="15.75">
      <c r="A22" s="104"/>
      <c r="B22" s="1683"/>
      <c r="C22" s="1673" t="s">
        <v>746</v>
      </c>
      <c r="D22" s="1588" t="s">
        <v>998</v>
      </c>
      <c r="E22" s="226"/>
      <c r="F22" s="226"/>
      <c r="G22" s="226"/>
      <c r="H22" s="1901" t="s">
        <v>1059</v>
      </c>
      <c r="I22" s="1902"/>
      <c r="J22" s="1902"/>
      <c r="K22" s="1903"/>
      <c r="L22" s="1537"/>
      <c r="M22" s="104"/>
      <c r="P22" s="1008"/>
    </row>
    <row r="23" spans="1:16" s="105" customFormat="1" ht="15.75">
      <c r="A23" s="104"/>
      <c r="B23" s="1683"/>
      <c r="C23" s="1789"/>
      <c r="D23" s="1588" t="s">
        <v>1286</v>
      </c>
      <c r="E23" s="226"/>
      <c r="F23" s="226"/>
      <c r="G23" s="226"/>
      <c r="H23" s="1898" t="str">
        <f>G8&amp;" pizzaer a "&amp;ROUND(G9,0)&amp;" g.  -   "&amp;ROUND(T9*100,0)&amp;"% hydrering"</f>
        <v>6 pizzaer a 270 g.  -   67% hydrering</v>
      </c>
      <c r="I23" s="1899"/>
      <c r="J23" s="1899"/>
      <c r="K23" s="1900"/>
      <c r="L23" s="1537"/>
      <c r="M23" s="104"/>
    </row>
    <row r="24" spans="1:16" s="105" customFormat="1" ht="15.75">
      <c r="A24" s="104"/>
      <c r="B24" s="1683"/>
      <c r="C24" s="1684"/>
      <c r="D24" s="1588" t="s">
        <v>1002</v>
      </c>
      <c r="E24" s="226"/>
      <c r="F24" s="226"/>
      <c r="G24" s="226"/>
      <c r="H24" s="1473"/>
      <c r="I24" s="303"/>
      <c r="J24" s="494"/>
      <c r="K24" s="1528"/>
      <c r="L24" s="1537"/>
      <c r="M24" s="104"/>
    </row>
    <row r="25" spans="1:16" s="105" customFormat="1" ht="15.75">
      <c r="A25" s="104"/>
      <c r="B25" s="1683"/>
      <c r="C25" s="1789"/>
      <c r="D25" s="1588" t="s">
        <v>1003</v>
      </c>
      <c r="E25" s="226"/>
      <c r="F25" s="226"/>
      <c r="G25" s="226"/>
      <c r="H25" s="1298"/>
      <c r="I25" s="1147">
        <f>$G$10*(T9/SUM($T$7:$T$13))</f>
        <v>603.35195541962946</v>
      </c>
      <c r="J25" s="292" t="s">
        <v>1000</v>
      </c>
      <c r="K25" s="1734">
        <f>T9</f>
        <v>0.66666666666666596</v>
      </c>
      <c r="L25" s="1537"/>
      <c r="M25" s="104"/>
    </row>
    <row r="26" spans="1:16" s="105" customFormat="1" ht="15.75">
      <c r="A26" s="104"/>
      <c r="B26" s="1683"/>
      <c r="C26" s="1673" t="s">
        <v>746</v>
      </c>
      <c r="D26" t="s">
        <v>1162</v>
      </c>
      <c r="E26" s="226"/>
      <c r="F26" s="226"/>
      <c r="G26" s="226"/>
      <c r="H26" s="1298"/>
      <c r="I26" s="1685">
        <f>$G$10*(T10/SUM($T$7:$T$13))</f>
        <v>30.16759746930553</v>
      </c>
      <c r="J26" s="292" t="str">
        <f>"g "&amp;P15</f>
        <v>g frisk gær</v>
      </c>
      <c r="K26" s="1739">
        <f>T10</f>
        <v>3.3333333E-2</v>
      </c>
      <c r="L26" s="1537"/>
      <c r="M26" s="104"/>
    </row>
    <row r="27" spans="1:16" s="105" customFormat="1" ht="15.75">
      <c r="A27" s="104"/>
      <c r="B27" s="1683"/>
      <c r="C27" s="1789"/>
      <c r="D27" s="1588" t="s">
        <v>1163</v>
      </c>
      <c r="E27" s="226"/>
      <c r="F27" s="226"/>
      <c r="G27" s="226"/>
      <c r="H27" s="1298"/>
      <c r="I27" s="1147">
        <f>$G$10*(T11/SUM($T$7:$T$13))</f>
        <v>21.117318439687025</v>
      </c>
      <c r="J27" s="292" t="s">
        <v>202</v>
      </c>
      <c r="K27" s="1739">
        <f>T11</f>
        <v>2.33333333333333E-2</v>
      </c>
      <c r="L27" s="1537"/>
      <c r="M27" s="104"/>
    </row>
    <row r="28" spans="1:16" s="105" customFormat="1" ht="15.75">
      <c r="A28" s="104"/>
      <c r="B28" s="1683"/>
      <c r="C28" s="1789"/>
      <c r="D28" s="1588" t="s">
        <v>1164</v>
      </c>
      <c r="E28" s="226"/>
      <c r="F28" s="226"/>
      <c r="G28" s="226"/>
      <c r="H28" s="1298"/>
      <c r="I28" s="1502">
        <f>$G$10*(T7/SUM($T$7:$T$13))*IF(F13="Ja",0.6666666666,1)</f>
        <v>603.35195535929495</v>
      </c>
      <c r="J28" s="292" t="s">
        <v>205</v>
      </c>
      <c r="K28" s="1910">
        <f>T7</f>
        <v>1</v>
      </c>
      <c r="L28" s="1537"/>
      <c r="M28" s="104"/>
    </row>
    <row r="29" spans="1:16" s="105" customFormat="1" ht="15.75">
      <c r="A29" s="104"/>
      <c r="B29" s="1683"/>
      <c r="C29" s="1673" t="s">
        <v>746</v>
      </c>
      <c r="D29" s="1588" t="s">
        <v>1168</v>
      </c>
      <c r="E29" s="226"/>
      <c r="F29" s="226"/>
      <c r="G29" s="226"/>
      <c r="H29" s="1298"/>
      <c r="I29" s="1147">
        <f>$G$10*(T7/SUM($T$7:$T$13))*IF(F13="Ja",0.3333333333,0)</f>
        <v>301.67597767964747</v>
      </c>
      <c r="J29" s="292" t="str">
        <f>IF(F13=1,"-","g groft durum/semola-mel")</f>
        <v>g groft durum/semola-mel</v>
      </c>
      <c r="K29" s="1910"/>
      <c r="L29" s="1537"/>
      <c r="M29" s="104"/>
    </row>
    <row r="30" spans="1:16" s="105" customFormat="1" ht="15.75">
      <c r="A30" s="104"/>
      <c r="B30" s="1683"/>
      <c r="C30" s="1789"/>
      <c r="D30" s="1588" t="s">
        <v>1169</v>
      </c>
      <c r="E30" s="226"/>
      <c r="F30" s="226"/>
      <c r="G30" s="226"/>
      <c r="H30" s="1298"/>
      <c r="I30" s="1147">
        <f>$G$10*(T12/SUM($T$7:$T$13))</f>
        <v>39.217877102275928</v>
      </c>
      <c r="J30" s="292" t="s">
        <v>207</v>
      </c>
      <c r="K30" s="1739">
        <f>T12</f>
        <v>4.33333333333333E-2</v>
      </c>
      <c r="L30" s="1537"/>
      <c r="M30" s="104"/>
    </row>
    <row r="31" spans="1:16" s="105" customFormat="1" ht="15.75">
      <c r="A31" s="104"/>
      <c r="B31" s="1683"/>
      <c r="C31" s="1673" t="s">
        <v>746</v>
      </c>
      <c r="D31" s="1588" t="s">
        <v>1281</v>
      </c>
      <c r="E31" s="226"/>
      <c r="F31" s="226"/>
      <c r="G31" s="226"/>
      <c r="H31" s="1298"/>
      <c r="I31" s="1320">
        <f>$G$10*(T13/SUM($T$7:$T$13))</f>
        <v>21.117318439656888</v>
      </c>
      <c r="J31" s="926" t="s">
        <v>29</v>
      </c>
      <c r="K31" s="1739">
        <f>T13</f>
        <v>2.33333333333E-2</v>
      </c>
      <c r="L31" s="1537"/>
      <c r="M31" s="104"/>
    </row>
    <row r="32" spans="1:16" s="105" customFormat="1" ht="15.75">
      <c r="A32" s="104"/>
      <c r="B32" s="1683"/>
      <c r="C32" s="1789"/>
      <c r="D32" s="1588" t="s">
        <v>1282</v>
      </c>
      <c r="E32" s="226"/>
      <c r="F32" s="226"/>
      <c r="G32" s="226"/>
      <c r="H32" s="1298"/>
      <c r="I32" s="1686">
        <f>SUM(I25:I31)</f>
        <v>1619.9999999094973</v>
      </c>
      <c r="J32" s="788" t="s">
        <v>326</v>
      </c>
      <c r="K32" s="1529"/>
      <c r="L32" s="1537"/>
      <c r="M32" s="104"/>
    </row>
    <row r="33" spans="1:13" s="105" customFormat="1" ht="15.75">
      <c r="A33" s="104"/>
      <c r="B33" s="1683"/>
      <c r="C33" s="1789"/>
      <c r="D33" s="1588"/>
      <c r="E33" s="226"/>
      <c r="F33" s="226"/>
      <c r="G33" s="226"/>
      <c r="H33" s="1530"/>
      <c r="I33" s="236"/>
      <c r="J33" s="236"/>
      <c r="K33" s="1531"/>
      <c r="L33" s="1537"/>
      <c r="M33" s="104"/>
    </row>
    <row r="34" spans="1:13" s="105" customFormat="1" ht="15.75">
      <c r="A34" s="104"/>
      <c r="B34" s="1683"/>
      <c r="C34" s="1050"/>
      <c r="D34" s="1067"/>
      <c r="E34" s="226"/>
      <c r="F34" s="226"/>
      <c r="G34" s="226"/>
      <c r="H34" s="226"/>
      <c r="I34" s="226"/>
      <c r="J34" s="226"/>
      <c r="K34" s="226"/>
      <c r="L34" s="1537"/>
      <c r="M34" s="104"/>
    </row>
    <row r="35" spans="1:13" s="105" customFormat="1" ht="15.75">
      <c r="A35" s="104"/>
      <c r="B35" s="1689"/>
      <c r="C35" s="1532"/>
      <c r="D35" s="1533"/>
      <c r="E35" s="236"/>
      <c r="F35" s="236"/>
      <c r="G35" s="236"/>
      <c r="H35" s="236"/>
      <c r="I35" s="236"/>
      <c r="J35" s="236"/>
      <c r="K35" s="236"/>
      <c r="L35" s="1537"/>
      <c r="M35" s="104"/>
    </row>
    <row r="36" spans="1:13" s="105" customFormat="1" ht="15.75">
      <c r="A36" s="104"/>
      <c r="B36" s="1683"/>
      <c r="C36" s="1050"/>
      <c r="D36" s="1050"/>
      <c r="E36" s="226"/>
      <c r="F36" s="226"/>
      <c r="G36" s="226"/>
      <c r="H36" s="226"/>
      <c r="I36" s="226"/>
      <c r="J36" s="226"/>
      <c r="K36" s="226"/>
      <c r="L36" s="1537"/>
      <c r="M36" s="104"/>
    </row>
    <row r="37" spans="1:13" ht="18">
      <c r="A37" s="98"/>
      <c r="B37" s="1687" t="s">
        <v>1034</v>
      </c>
      <c r="C37" s="1697">
        <v>1</v>
      </c>
      <c r="D37" s="226" t="s">
        <v>208</v>
      </c>
      <c r="E37" s="226"/>
      <c r="F37" s="226"/>
      <c r="G37" s="226"/>
      <c r="H37" s="303"/>
      <c r="I37" s="1297" t="str">
        <f>ROUND(I25,0)&amp;" g. kold vand, "&amp;ROUND(I26,0)&amp;" g. gær, "&amp;ROUND(I27,0)&amp;" g. sukker"</f>
        <v>603 g. kold vand, 30 g. gær, 21 g. sukker</v>
      </c>
      <c r="J37" s="988"/>
      <c r="K37" s="989"/>
      <c r="L37" s="1492"/>
      <c r="M37" s="98"/>
    </row>
    <row r="38" spans="1:13">
      <c r="A38" s="98"/>
      <c r="B38" s="1681"/>
      <c r="C38" s="656"/>
      <c r="D38" s="5"/>
      <c r="E38" s="5"/>
      <c r="F38" s="5"/>
      <c r="L38" s="45"/>
      <c r="M38" s="98"/>
    </row>
    <row r="39" spans="1:13" ht="18">
      <c r="A39" s="98"/>
      <c r="B39" s="1687" t="s">
        <v>1034</v>
      </c>
      <c r="C39" s="1698">
        <v>2</v>
      </c>
      <c r="D39" s="226" t="s">
        <v>986</v>
      </c>
      <c r="E39" s="226"/>
      <c r="F39" s="226"/>
      <c r="G39" s="226"/>
      <c r="H39" s="303"/>
      <c r="I39" s="1297" t="str">
        <f>IF(F13="Nej",ROUND(I28/2,0)&amp;" g. hvedemel",ROUND(I28/2,0)&amp;" g. hvedemel, "&amp;ROUND(I29/2,0)&amp;" g durum-mel")</f>
        <v>302 g. hvedemel, 151 g durum-mel</v>
      </c>
      <c r="J39" s="988"/>
      <c r="K39" s="989"/>
      <c r="L39" s="1492"/>
      <c r="M39" s="98"/>
    </row>
    <row r="40" spans="1:13">
      <c r="A40" s="98"/>
      <c r="B40" s="1681"/>
      <c r="C40" s="656"/>
      <c r="D40" s="5"/>
      <c r="E40" s="5"/>
      <c r="F40" s="5"/>
      <c r="L40" s="45"/>
      <c r="M40" s="98"/>
    </row>
    <row r="41" spans="1:13" ht="18">
      <c r="A41" s="98"/>
      <c r="B41" s="1687" t="s">
        <v>1034</v>
      </c>
      <c r="C41" s="354">
        <v>3</v>
      </c>
      <c r="D41" s="226" t="s">
        <v>209</v>
      </c>
      <c r="E41" s="226"/>
      <c r="F41" s="226"/>
      <c r="G41" s="226"/>
      <c r="H41" s="303"/>
      <c r="I41" s="1297" t="str">
        <f>ROUND(I30,0)&amp;" g. olie, "&amp;ROUND(I31,0)&amp;" g. salt, "&amp;IF(F13="Nej",ROUND(I28/2,0)&amp;" g hvedemel",ROUND(I28/2,0)&amp;" g. hvedemel, "&amp;ROUND(I29/2,0)&amp;" g. semola-mel")</f>
        <v>39 g. olie, 21 g. salt, 302 g. hvedemel, 151 g. semola-mel</v>
      </c>
      <c r="J41" s="988"/>
      <c r="K41" s="989"/>
      <c r="L41" s="1492"/>
      <c r="M41" s="98"/>
    </row>
    <row r="42" spans="1:13" ht="18">
      <c r="A42" s="98"/>
      <c r="B42" s="1687"/>
      <c r="C42" s="354"/>
      <c r="D42" s="226" t="s">
        <v>1170</v>
      </c>
      <c r="E42" s="226"/>
      <c r="F42" s="226"/>
      <c r="G42" s="226"/>
      <c r="H42" s="303"/>
      <c r="I42" s="1694"/>
      <c r="J42" s="303"/>
      <c r="K42" s="303"/>
      <c r="L42" s="1492"/>
      <c r="M42" s="98"/>
    </row>
    <row r="43" spans="1:13">
      <c r="A43" s="98"/>
      <c r="B43" s="1681"/>
      <c r="C43" s="656"/>
      <c r="D43" s="5"/>
      <c r="E43" s="5"/>
      <c r="F43" s="5"/>
      <c r="L43" s="45"/>
      <c r="M43" s="98"/>
    </row>
    <row r="44" spans="1:13" ht="18">
      <c r="A44" s="98"/>
      <c r="B44" s="1687" t="s">
        <v>1034</v>
      </c>
      <c r="C44" s="354">
        <v>4</v>
      </c>
      <c r="D44" s="226" t="s">
        <v>1203</v>
      </c>
      <c r="E44" s="226"/>
      <c r="F44" s="226"/>
      <c r="G44" s="226"/>
      <c r="H44" s="303"/>
      <c r="I44" s="303"/>
      <c r="J44" s="494"/>
      <c r="K44" s="494"/>
      <c r="L44" s="1528"/>
      <c r="M44" s="98"/>
    </row>
    <row r="45" spans="1:13" ht="15.75">
      <c r="A45" s="98"/>
      <c r="B45" s="1696"/>
      <c r="C45" s="1699"/>
      <c r="D45" s="798" t="s">
        <v>1204</v>
      </c>
      <c r="E45" s="303"/>
      <c r="F45" s="303"/>
      <c r="G45" s="303"/>
      <c r="H45" s="303"/>
      <c r="I45" s="303"/>
      <c r="J45" s="303"/>
      <c r="K45" s="303"/>
      <c r="L45" s="1492"/>
      <c r="M45" s="98"/>
    </row>
    <row r="46" spans="1:13" ht="15.75">
      <c r="A46" s="98"/>
      <c r="B46" s="1696"/>
      <c r="C46" s="1699"/>
      <c r="D46" s="1695" t="s">
        <v>1205</v>
      </c>
      <c r="E46" s="303"/>
      <c r="F46" s="303"/>
      <c r="G46" s="303"/>
      <c r="H46" s="303"/>
      <c r="I46" s="303"/>
      <c r="J46" s="303"/>
      <c r="K46" s="303"/>
      <c r="L46" s="1492"/>
      <c r="M46" s="98"/>
    </row>
    <row r="47" spans="1:13">
      <c r="A47" s="98"/>
      <c r="B47" s="1681"/>
      <c r="C47" s="656"/>
      <c r="D47" s="5"/>
      <c r="E47" s="5"/>
      <c r="F47" s="5"/>
      <c r="L47" s="45"/>
      <c r="M47" s="98"/>
    </row>
    <row r="48" spans="1:13" ht="18">
      <c r="A48" s="98"/>
      <c r="B48" s="1687" t="s">
        <v>1034</v>
      </c>
      <c r="C48" s="354">
        <v>5</v>
      </c>
      <c r="D48" s="226" t="s">
        <v>1216</v>
      </c>
      <c r="E48" s="226"/>
      <c r="F48" s="226"/>
      <c r="G48" s="226"/>
      <c r="H48" s="303"/>
      <c r="I48" s="303"/>
      <c r="J48" s="494"/>
      <c r="K48" s="494"/>
      <c r="L48" s="1528"/>
      <c r="M48" s="98"/>
    </row>
    <row r="49" spans="1:13">
      <c r="A49" s="98"/>
      <c r="B49" s="1681"/>
      <c r="C49" s="656"/>
      <c r="D49" s="5"/>
      <c r="E49" s="5"/>
      <c r="F49" s="5"/>
      <c r="L49" s="45"/>
      <c r="M49" s="98"/>
    </row>
    <row r="50" spans="1:13" ht="18">
      <c r="A50" s="98"/>
      <c r="B50" s="1687" t="s">
        <v>1034</v>
      </c>
      <c r="C50" s="354">
        <v>6</v>
      </c>
      <c r="D50" s="226" t="str">
        <f>"Del dejen i "&amp;G8&amp;" klumper af ca. "&amp;ROUND(G9,0)&amp;" g."</f>
        <v>Del dejen i 6 klumper af ca. 270 g.</v>
      </c>
      <c r="E50" s="226"/>
      <c r="F50" s="226"/>
      <c r="G50" s="226"/>
      <c r="H50" s="303"/>
      <c r="I50" s="303"/>
      <c r="J50" s="494"/>
      <c r="K50" s="494"/>
      <c r="L50" s="1528"/>
      <c r="M50" s="98"/>
    </row>
    <row r="51" spans="1:13">
      <c r="A51" s="98"/>
      <c r="B51" s="1681"/>
      <c r="C51" s="656"/>
      <c r="D51" s="5"/>
      <c r="E51" s="5"/>
      <c r="F51" s="5"/>
      <c r="L51" s="45"/>
      <c r="M51" s="98"/>
    </row>
    <row r="52" spans="1:13" ht="18">
      <c r="A52" s="98"/>
      <c r="B52" s="1687" t="s">
        <v>1034</v>
      </c>
      <c r="C52" s="1698">
        <v>7</v>
      </c>
      <c r="D52" s="226" t="s">
        <v>210</v>
      </c>
      <c r="E52" s="226"/>
      <c r="F52" s="226"/>
      <c r="G52" s="226"/>
      <c r="H52" s="303"/>
      <c r="I52" s="303"/>
      <c r="J52" s="494"/>
      <c r="K52" s="494"/>
      <c r="L52" s="1528"/>
      <c r="M52" s="98"/>
    </row>
    <row r="53" spans="1:13" ht="15.75">
      <c r="A53" s="98"/>
      <c r="B53" s="1681"/>
      <c r="C53" s="354"/>
      <c r="D53" s="226" t="s">
        <v>24</v>
      </c>
      <c r="E53" s="226"/>
      <c r="F53" s="226"/>
      <c r="G53" s="226"/>
      <c r="H53" s="303"/>
      <c r="I53" s="303"/>
      <c r="J53" s="303"/>
      <c r="K53" s="303"/>
      <c r="L53" s="1492"/>
      <c r="M53" s="98"/>
    </row>
    <row r="54" spans="1:13">
      <c r="A54" s="98"/>
      <c r="B54" s="1681"/>
      <c r="C54" s="656"/>
      <c r="D54" s="5"/>
      <c r="E54" s="5"/>
      <c r="F54" s="5"/>
      <c r="L54" s="45"/>
      <c r="M54" s="98"/>
    </row>
    <row r="55" spans="1:13" ht="18">
      <c r="A55" s="98"/>
      <c r="B55" s="1687" t="s">
        <v>1034</v>
      </c>
      <c r="C55" s="354">
        <v>8</v>
      </c>
      <c r="D55" s="226" t="s">
        <v>818</v>
      </c>
      <c r="E55" s="226"/>
      <c r="F55" s="226"/>
      <c r="G55" s="226"/>
      <c r="H55" s="303"/>
      <c r="I55" s="303"/>
      <c r="J55" s="303"/>
      <c r="K55" s="303"/>
      <c r="L55" s="1492"/>
      <c r="M55" s="98"/>
    </row>
    <row r="56" spans="1:13">
      <c r="A56" s="98"/>
      <c r="B56" s="1688"/>
      <c r="C56" s="833"/>
      <c r="D56" s="833"/>
      <c r="E56" s="833"/>
      <c r="F56" s="833"/>
      <c r="G56" s="833"/>
      <c r="H56" s="833"/>
      <c r="I56" s="833"/>
      <c r="J56" s="833"/>
      <c r="K56" s="1351" t="s">
        <v>523</v>
      </c>
      <c r="L56" s="1495"/>
      <c r="M56" s="98"/>
    </row>
    <row r="57" spans="1:13">
      <c r="A57" s="98"/>
      <c r="B57" s="98"/>
      <c r="C57" s="98"/>
      <c r="D57" s="98"/>
      <c r="E57" s="98"/>
      <c r="F57" s="98"/>
      <c r="G57" s="98"/>
      <c r="H57" s="98"/>
      <c r="I57" s="98"/>
      <c r="J57" s="98"/>
      <c r="K57" s="98"/>
      <c r="L57" s="98"/>
      <c r="M57" s="98"/>
    </row>
  </sheetData>
  <sheetProtection algorithmName="SHA-512" hashValue="J04Nx+GXT5l1cnZYF4Aoc37zSHSL3lLiTEOd9jifPlZkdWQVjVi8/Mi733AZ5SgAOsRrkp2K95zo/gv+sJYcpg==" saltValue="ckmwvlfqwCMgFkaUXL6y6A==" spinCount="100000" sheet="1" objects="1" scenarios="1" selectLockedCells="1"/>
  <mergeCells count="6">
    <mergeCell ref="K28:K29"/>
    <mergeCell ref="D1:H4"/>
    <mergeCell ref="H23:K23"/>
    <mergeCell ref="C19:F21"/>
    <mergeCell ref="T7:T8"/>
    <mergeCell ref="H22:K22"/>
  </mergeCells>
  <dataValidations count="2">
    <dataValidation type="list" allowBlank="1" showInputMessage="1" showErrorMessage="1" errorTitle="Benyt 1 eller 2 meltyper?" error="Gorm benytter både tipo 00 hvedemel og semola-mel._x000a__x000a_Du kan nøjes med at bruge samme tipo 00 mel til hele dejen. " sqref="F13" xr:uid="{45CBF6D8-04C1-4853-84F4-A91760757F97}">
      <formula1>"Ja,Nej"</formula1>
    </dataValidation>
    <dataValidation type="list" allowBlank="1" showInputMessage="1" showErrorMessage="1" sqref="F16" xr:uid="{7D09BC6B-E072-4ABC-A197-DA95CD867A28}">
      <formula1>$O$11:$O$13</formula1>
    </dataValidation>
  </dataValidations>
  <pageMargins left="0.25" right="0.25" top="0.75" bottom="0.75" header="0.3" footer="0.3"/>
  <pageSetup paperSize="9" scale="75"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CE810-B392-4C65-AC19-BD5F41DA8602}">
  <sheetPr codeName="Ark14">
    <tabColor rgb="FFFFFFCC"/>
    <pageSetUpPr fitToPage="1"/>
  </sheetPr>
  <dimension ref="A1:L60"/>
  <sheetViews>
    <sheetView showGridLines="0" showRowColHeaders="0" zoomScaleNormal="100" workbookViewId="0">
      <pane ySplit="4" topLeftCell="A5" activePane="bottomLeft" state="frozen"/>
      <selection activeCell="C2" sqref="C2:I3"/>
      <selection pane="bottomLeft" activeCell="F9" sqref="F9"/>
    </sheetView>
  </sheetViews>
  <sheetFormatPr defaultColWidth="0" defaultRowHeight="0" customHeight="1" zeroHeight="1"/>
  <cols>
    <col min="1" max="1" width="3.5703125" customWidth="1"/>
    <col min="2" max="2" width="6.85546875" customWidth="1"/>
    <col min="3" max="3" width="40.7109375" customWidth="1"/>
    <col min="4" max="4" width="3.42578125" customWidth="1"/>
    <col min="5" max="5" width="17.7109375" customWidth="1"/>
    <col min="6" max="6" width="6.28515625" customWidth="1"/>
    <col min="7" max="7" width="3.5703125" customWidth="1"/>
    <col min="8" max="8" width="6.85546875" customWidth="1"/>
    <col min="9" max="9" width="23.140625" customWidth="1"/>
    <col min="10" max="10" width="7.7109375" customWidth="1"/>
    <col min="11" max="11" width="2.85546875" customWidth="1"/>
    <col min="12" max="12" width="3.28515625" customWidth="1"/>
    <col min="13" max="16384" width="9.140625" hidden="1"/>
  </cols>
  <sheetData>
    <row r="1" spans="1:12" ht="15">
      <c r="A1" s="217"/>
      <c r="B1" s="217"/>
      <c r="C1" s="1911" t="s">
        <v>328</v>
      </c>
      <c r="D1" s="1911"/>
      <c r="E1" s="1911"/>
      <c r="F1" s="1911"/>
      <c r="G1" s="1911"/>
      <c r="H1" s="217"/>
      <c r="I1" s="217"/>
      <c r="J1" s="217"/>
      <c r="K1" s="217"/>
      <c r="L1" s="217"/>
    </row>
    <row r="2" spans="1:12" ht="15">
      <c r="A2" s="217"/>
      <c r="B2" s="217"/>
      <c r="C2" s="1911"/>
      <c r="D2" s="1911"/>
      <c r="E2" s="1911"/>
      <c r="F2" s="1911"/>
      <c r="G2" s="1911"/>
      <c r="H2" s="217"/>
      <c r="I2" s="219"/>
      <c r="J2" s="219"/>
      <c r="K2" s="219"/>
      <c r="L2" s="217"/>
    </row>
    <row r="3" spans="1:12" ht="15">
      <c r="A3" s="217"/>
      <c r="B3" s="217"/>
      <c r="C3" s="1911"/>
      <c r="D3" s="1911"/>
      <c r="E3" s="1911"/>
      <c r="F3" s="1911"/>
      <c r="G3" s="1911"/>
      <c r="H3" s="217"/>
      <c r="I3" s="217"/>
      <c r="J3" s="217"/>
      <c r="K3" s="217"/>
      <c r="L3" s="217"/>
    </row>
    <row r="4" spans="1:12" ht="15.75" thickBot="1">
      <c r="A4" s="253"/>
      <c r="B4" s="253"/>
      <c r="C4" s="1912"/>
      <c r="D4" s="1912"/>
      <c r="E4" s="1912"/>
      <c r="F4" s="1912"/>
      <c r="G4" s="1912"/>
      <c r="H4" s="253"/>
      <c r="I4" s="253"/>
      <c r="J4" s="253"/>
      <c r="K4" s="253"/>
      <c r="L4" s="253"/>
    </row>
    <row r="5" spans="1:12" s="368" customFormat="1" ht="21.75" customHeight="1" thickTop="1">
      <c r="A5" s="98"/>
      <c r="B5" s="108" t="s">
        <v>330</v>
      </c>
      <c r="C5" s="98"/>
      <c r="D5" s="98"/>
      <c r="E5" s="98"/>
      <c r="F5" s="98"/>
      <c r="G5" s="98"/>
      <c r="H5" s="98"/>
      <c r="I5" s="98"/>
      <c r="J5" s="98"/>
      <c r="K5" s="98"/>
      <c r="L5" s="98"/>
    </row>
    <row r="6" spans="1:12" s="368" customFormat="1" ht="18.75">
      <c r="A6" s="98"/>
      <c r="B6" s="108" t="s">
        <v>212</v>
      </c>
      <c r="C6" s="98"/>
      <c r="D6" s="98"/>
      <c r="E6" s="98"/>
      <c r="F6" s="98"/>
      <c r="G6" s="98"/>
      <c r="H6" s="98"/>
      <c r="I6" s="98"/>
      <c r="J6" s="98"/>
      <c r="K6" s="98"/>
      <c r="L6" s="98"/>
    </row>
    <row r="7" spans="1:12" s="368" customFormat="1" ht="15.75" thickBot="1">
      <c r="A7" s="98"/>
      <c r="B7" s="98"/>
      <c r="C7" s="98"/>
      <c r="D7" s="98"/>
      <c r="E7" s="98"/>
      <c r="F7" s="98"/>
      <c r="G7" s="98"/>
      <c r="H7" s="98"/>
      <c r="I7" s="98"/>
      <c r="J7" s="98"/>
      <c r="K7" s="98"/>
      <c r="L7" s="98"/>
    </row>
    <row r="8" spans="1:12" s="105" customFormat="1" ht="15.75">
      <c r="A8" s="103"/>
      <c r="B8" s="166" t="s">
        <v>329</v>
      </c>
      <c r="C8" s="167"/>
      <c r="D8" s="103"/>
      <c r="E8" s="199"/>
      <c r="F8" s="104"/>
      <c r="G8" s="104"/>
      <c r="H8" s="199"/>
      <c r="I8" s="104"/>
      <c r="J8" s="104"/>
      <c r="K8" s="104"/>
      <c r="L8" s="103"/>
    </row>
    <row r="9" spans="1:12" ht="15.75">
      <c r="A9" s="98"/>
      <c r="B9" s="164">
        <v>500</v>
      </c>
      <c r="C9" s="168" t="s">
        <v>822</v>
      </c>
      <c r="D9" s="98"/>
      <c r="E9" s="112" t="s">
        <v>8</v>
      </c>
      <c r="F9" s="339">
        <v>4</v>
      </c>
      <c r="G9" s="98"/>
      <c r="H9" s="89"/>
      <c r="I9" s="89"/>
      <c r="J9" s="110"/>
      <c r="K9" s="110"/>
      <c r="L9" s="98"/>
    </row>
    <row r="10" spans="1:12" ht="16.5" thickBot="1">
      <c r="A10" s="98"/>
      <c r="B10" s="164">
        <v>350</v>
      </c>
      <c r="C10" s="168" t="str">
        <f>"g lunken vand     (Hydrering "&amp;ROUND((B10/B9)*100,0)&amp;"%)"</f>
        <v>g lunken vand     (Hydrering 70%)</v>
      </c>
      <c r="D10" s="98"/>
      <c r="E10" s="112" t="s">
        <v>9</v>
      </c>
      <c r="F10" s="340">
        <v>270</v>
      </c>
      <c r="G10" s="98"/>
      <c r="H10" s="89"/>
      <c r="I10" s="89"/>
      <c r="J10" s="110"/>
      <c r="K10" s="110"/>
      <c r="L10" s="98"/>
    </row>
    <row r="11" spans="1:12" ht="16.5" thickTop="1">
      <c r="A11" s="98"/>
      <c r="B11" s="169">
        <v>25</v>
      </c>
      <c r="C11" s="168" t="s">
        <v>182</v>
      </c>
      <c r="D11" s="98"/>
      <c r="E11" s="113"/>
      <c r="F11" s="143"/>
      <c r="G11" s="98"/>
      <c r="H11" s="89"/>
      <c r="I11" s="89"/>
      <c r="J11" s="110"/>
      <c r="K11" s="110"/>
      <c r="L11" s="98"/>
    </row>
    <row r="12" spans="1:12" ht="15.75">
      <c r="A12" s="98"/>
      <c r="B12" s="1844">
        <v>4.2</v>
      </c>
      <c r="C12" s="168" t="s">
        <v>204</v>
      </c>
      <c r="D12" s="89"/>
      <c r="E12" s="89"/>
      <c r="F12" s="89"/>
      <c r="G12" s="89"/>
      <c r="H12" s="89"/>
      <c r="I12" s="89"/>
      <c r="J12" s="144"/>
      <c r="K12" s="144"/>
      <c r="L12" s="98"/>
    </row>
    <row r="13" spans="1:12" ht="15.75">
      <c r="A13" s="98"/>
      <c r="B13" s="172">
        <v>5</v>
      </c>
      <c r="C13" s="173" t="s">
        <v>203</v>
      </c>
      <c r="D13" s="98"/>
      <c r="E13" s="112"/>
      <c r="F13" s="114"/>
      <c r="G13" s="98"/>
      <c r="H13" s="89"/>
      <c r="I13" s="89"/>
      <c r="J13" s="110"/>
      <c r="K13" s="110"/>
      <c r="L13" s="98"/>
    </row>
    <row r="14" spans="1:12" ht="16.5" thickBot="1">
      <c r="A14" s="98"/>
      <c r="B14" s="170">
        <f>SUM(B9:B13)</f>
        <v>884.2</v>
      </c>
      <c r="C14" s="171" t="s">
        <v>206</v>
      </c>
      <c r="D14" s="98"/>
      <c r="E14" s="101"/>
      <c r="F14" s="99"/>
      <c r="G14" s="98"/>
      <c r="H14" s="89"/>
      <c r="I14" s="89"/>
      <c r="J14" s="111"/>
      <c r="K14" s="111"/>
      <c r="L14" s="98"/>
    </row>
    <row r="15" spans="1:12" ht="15">
      <c r="A15" s="98"/>
      <c r="B15" s="89"/>
      <c r="C15" s="89"/>
      <c r="D15" s="98"/>
      <c r="E15" s="98"/>
      <c r="F15" s="98"/>
      <c r="G15" s="98"/>
      <c r="H15" s="89"/>
      <c r="I15" s="89"/>
      <c r="J15" s="89"/>
      <c r="K15" s="89"/>
      <c r="L15" s="98"/>
    </row>
    <row r="16" spans="1:12" ht="15">
      <c r="A16" s="98"/>
      <c r="B16" s="98"/>
      <c r="C16" s="98"/>
      <c r="D16" s="98"/>
      <c r="E16" s="98"/>
      <c r="F16" s="98"/>
      <c r="G16" s="98"/>
      <c r="H16" s="89"/>
      <c r="I16" s="89"/>
      <c r="J16" s="89"/>
      <c r="K16" s="89"/>
      <c r="L16" s="98"/>
    </row>
    <row r="17" spans="1:12" ht="15" customHeight="1">
      <c r="A17" s="98"/>
      <c r="B17" s="1914" t="str">
        <f>C1</f>
        <v>Umuts hurtige pizzadej</v>
      </c>
      <c r="C17" s="1914"/>
      <c r="D17" s="303"/>
      <c r="E17" s="303"/>
      <c r="F17" s="303"/>
      <c r="G17" s="303"/>
      <c r="H17" s="303"/>
      <c r="I17" s="494"/>
      <c r="J17" s="494"/>
      <c r="K17" s="494"/>
      <c r="L17" s="98"/>
    </row>
    <row r="18" spans="1:12" ht="15.75" customHeight="1" thickBot="1">
      <c r="A18" s="98"/>
      <c r="B18" s="1914"/>
      <c r="C18" s="1914"/>
      <c r="D18" s="319"/>
      <c r="E18" s="319"/>
      <c r="F18" s="319"/>
      <c r="G18" s="319"/>
      <c r="K18" s="494"/>
      <c r="L18" s="98"/>
    </row>
    <row r="19" spans="1:12" ht="15">
      <c r="A19" s="98"/>
      <c r="B19" s="1914"/>
      <c r="C19" s="1914"/>
      <c r="D19" s="303"/>
      <c r="E19" s="303"/>
      <c r="F19" s="303"/>
      <c r="G19" s="303"/>
      <c r="H19" s="303"/>
      <c r="I19" s="494"/>
      <c r="J19" s="494"/>
      <c r="K19" s="494"/>
      <c r="L19" s="98"/>
    </row>
    <row r="20" spans="1:12" s="105" customFormat="1" ht="15.75">
      <c r="A20" s="104"/>
      <c r="B20" s="1673" t="s">
        <v>746</v>
      </c>
      <c r="C20" t="s">
        <v>1162</v>
      </c>
      <c r="D20" s="226"/>
      <c r="E20" s="226"/>
      <c r="F20" s="226"/>
      <c r="G20" s="1919" t="s">
        <v>1059</v>
      </c>
      <c r="H20" s="1920"/>
      <c r="I20" s="1920"/>
      <c r="J20" s="1921"/>
      <c r="K20" s="226"/>
      <c r="L20" s="104"/>
    </row>
    <row r="21" spans="1:12" s="105" customFormat="1" ht="15.75">
      <c r="A21" s="104"/>
      <c r="B21" s="1789"/>
      <c r="C21" s="1588" t="s">
        <v>1280</v>
      </c>
      <c r="D21" s="226"/>
      <c r="E21" s="226"/>
      <c r="F21" s="226"/>
      <c r="G21" s="1916" t="str">
        <f>F9&amp;" pizzaer a "&amp;ROUND(F10,0)&amp;" g.  -   "&amp;ROUND((B10/(B9))*100,0)&amp;"% hydrering"</f>
        <v>4 pizzaer a 270 g.  -   70% hydrering</v>
      </c>
      <c r="H21" s="1917"/>
      <c r="I21" s="1917"/>
      <c r="J21" s="1918"/>
      <c r="K21" s="226"/>
      <c r="L21" s="104"/>
    </row>
    <row r="22" spans="1:12" s="105" customFormat="1" ht="15.75">
      <c r="A22" s="104"/>
      <c r="B22" s="1789"/>
      <c r="C22" s="1588" t="s">
        <v>1161</v>
      </c>
      <c r="D22" s="226"/>
      <c r="E22" s="226"/>
      <c r="F22" s="226"/>
      <c r="G22" s="1298"/>
      <c r="H22" s="1536">
        <f>B9*(($F$9*$F$10)/$B$14)</f>
        <v>610.72155620900253</v>
      </c>
      <c r="I22" s="292" t="s">
        <v>822</v>
      </c>
      <c r="J22" s="1732">
        <v>1</v>
      </c>
      <c r="K22" s="226"/>
      <c r="L22" s="104"/>
    </row>
    <row r="23" spans="1:12" s="105" customFormat="1" ht="15.75">
      <c r="A23" s="104"/>
      <c r="B23" s="1673" t="s">
        <v>746</v>
      </c>
      <c r="C23" s="1588" t="s">
        <v>1287</v>
      </c>
      <c r="D23" s="226"/>
      <c r="E23" s="226"/>
      <c r="F23" s="226"/>
      <c r="G23" s="1298"/>
      <c r="H23" s="1536">
        <f>B10*(($F$9*$F$10)/$B$14)</f>
        <v>427.50508934630176</v>
      </c>
      <c r="I23" s="292" t="s">
        <v>819</v>
      </c>
      <c r="J23" s="1732">
        <f>H23/$H$22</f>
        <v>0.7</v>
      </c>
      <c r="K23" s="226"/>
      <c r="L23" s="104"/>
    </row>
    <row r="24" spans="1:12" s="105" customFormat="1" ht="15.75">
      <c r="A24" s="104"/>
      <c r="B24" s="1789"/>
      <c r="C24" s="1588" t="s">
        <v>1282</v>
      </c>
      <c r="D24" s="226"/>
      <c r="E24" s="226"/>
      <c r="F24" s="226"/>
      <c r="G24" s="1298"/>
      <c r="H24" s="1536">
        <f>B11*($F$9*$F$10/$B$14)</f>
        <v>30.536077810450124</v>
      </c>
      <c r="I24" s="292" t="s">
        <v>182</v>
      </c>
      <c r="J24" s="1732">
        <f t="shared" ref="J24:J26" si="0">H24/$H$22</f>
        <v>4.9999999999999996E-2</v>
      </c>
      <c r="K24" s="226"/>
      <c r="L24" s="104"/>
    </row>
    <row r="25" spans="1:12" s="105" customFormat="1" ht="15.75">
      <c r="A25" s="104"/>
      <c r="B25" s="1050"/>
      <c r="C25" s="1050"/>
      <c r="D25" s="226"/>
      <c r="E25" s="226"/>
      <c r="F25" s="226"/>
      <c r="G25" s="1298"/>
      <c r="H25" s="1404">
        <f>B12*($F$9*$F$10/$B$14)</f>
        <v>5.1300610721556215</v>
      </c>
      <c r="I25" s="302" t="s">
        <v>202</v>
      </c>
      <c r="J25" s="1733">
        <f t="shared" si="0"/>
        <v>8.4000000000000012E-3</v>
      </c>
      <c r="K25" s="226"/>
      <c r="L25" s="104"/>
    </row>
    <row r="26" spans="1:12" s="105" customFormat="1" ht="15.75">
      <c r="A26" s="104"/>
      <c r="B26" s="1050"/>
      <c r="C26" s="1050"/>
      <c r="D26" s="226"/>
      <c r="E26" s="226"/>
      <c r="F26" s="226"/>
      <c r="G26" s="1298"/>
      <c r="H26" s="1535">
        <f>B13*($F$9*$F$10/$B$14)</f>
        <v>6.1072155620900244</v>
      </c>
      <c r="I26" s="926" t="s">
        <v>29</v>
      </c>
      <c r="J26" s="1733">
        <f t="shared" si="0"/>
        <v>9.9999999999999985E-3</v>
      </c>
      <c r="K26" s="226"/>
      <c r="L26" s="104"/>
    </row>
    <row r="27" spans="1:12" s="105" customFormat="1" ht="15.75">
      <c r="A27" s="104"/>
      <c r="B27" s="1050"/>
      <c r="D27" s="226"/>
      <c r="E27" s="226"/>
      <c r="F27" s="226"/>
      <c r="G27" s="1530"/>
      <c r="H27" s="1538">
        <f>SUM(H22:H26)</f>
        <v>1079.9999999999998</v>
      </c>
      <c r="I27" s="1539" t="s">
        <v>326</v>
      </c>
      <c r="J27" s="1531"/>
      <c r="K27" s="226"/>
      <c r="L27" s="104"/>
    </row>
    <row r="28" spans="1:12" s="105" customFormat="1" ht="15.75">
      <c r="A28" s="104"/>
      <c r="B28" s="1050"/>
      <c r="C28" s="1050"/>
      <c r="D28" s="226"/>
      <c r="E28" s="226"/>
      <c r="F28" s="226"/>
      <c r="G28" s="226"/>
      <c r="J28" s="226"/>
      <c r="K28" s="226"/>
      <c r="L28" s="104"/>
    </row>
    <row r="29" spans="1:12" s="105" customFormat="1" ht="15.75">
      <c r="A29" s="104"/>
      <c r="B29" s="1050"/>
      <c r="C29" s="1050"/>
      <c r="D29" s="226"/>
      <c r="E29" s="226"/>
      <c r="F29" s="226"/>
      <c r="G29" s="226"/>
      <c r="H29" s="226"/>
      <c r="I29" s="226"/>
      <c r="J29" s="226"/>
      <c r="K29" s="226"/>
      <c r="L29" s="104"/>
    </row>
    <row r="30" spans="1:12" s="105" customFormat="1" ht="15.75">
      <c r="A30" s="104"/>
      <c r="B30" s="1050"/>
      <c r="C30" s="1050"/>
      <c r="D30" s="226"/>
      <c r="E30" s="226"/>
      <c r="F30" s="226"/>
      <c r="G30" s="226"/>
      <c r="H30" s="226"/>
      <c r="I30" s="226"/>
      <c r="J30" s="226"/>
      <c r="K30" s="226"/>
      <c r="L30" s="104"/>
    </row>
    <row r="31" spans="1:12" ht="15.75">
      <c r="A31" s="98"/>
      <c r="B31" s="986">
        <v>1</v>
      </c>
      <c r="C31" s="226" t="str">
        <f>"Opløs gær og sukker i "&amp;ROUND(H23*0.215,0)&amp;" ml vand og tilsæt "&amp;ROUND(H22*0.09,0)&amp;" g mel."</f>
        <v>Opløs gær og sukker i 92 ml vand og tilsæt 55 g mel.</v>
      </c>
      <c r="D31" s="226"/>
      <c r="E31" s="226"/>
      <c r="F31" s="226"/>
      <c r="G31" s="303"/>
      <c r="H31" s="1235" t="str">
        <f>ROUND(H24,0)&amp;" g gær, "&amp;ROUND(H25,0)&amp;" g sukker, "&amp;ROUND(H23*0.215,0)&amp;" g vand, "&amp;ROUND(H22*0.09,0)&amp;" g mel"</f>
        <v>31 g gær, 5 g sukker, 92 g vand, 55 g mel</v>
      </c>
      <c r="I31" s="1000"/>
      <c r="J31" s="1001"/>
      <c r="K31" s="303"/>
      <c r="L31" s="98"/>
    </row>
    <row r="32" spans="1:12" ht="15">
      <c r="A32" s="98"/>
      <c r="B32" s="5"/>
      <c r="L32" s="98"/>
    </row>
    <row r="33" spans="1:12" ht="15.75">
      <c r="A33" s="98"/>
      <c r="B33" s="986">
        <v>2</v>
      </c>
      <c r="C33" s="226" t="s">
        <v>331</v>
      </c>
      <c r="D33" s="226"/>
      <c r="E33" s="226"/>
      <c r="F33" s="226"/>
      <c r="G33" s="303"/>
      <c r="H33" s="1235" t="str">
        <f>ROUND(H23-(H23*0.215),0)&amp;" g lunken vand, "&amp;ROUND(H26,0)&amp;" g salt"</f>
        <v>336 g lunken vand, 6 g salt</v>
      </c>
      <c r="I33" s="1000"/>
      <c r="J33" s="1001"/>
      <c r="K33" s="303"/>
      <c r="L33" s="98"/>
    </row>
    <row r="34" spans="1:12" ht="15">
      <c r="A34" s="98"/>
      <c r="B34" s="5"/>
      <c r="L34" s="98"/>
    </row>
    <row r="35" spans="1:12" ht="15.75">
      <c r="A35" s="98"/>
      <c r="B35" s="987">
        <v>3</v>
      </c>
      <c r="C35" s="226" t="s">
        <v>332</v>
      </c>
      <c r="D35" s="226"/>
      <c r="E35" s="226"/>
      <c r="F35" s="226"/>
      <c r="G35" s="303"/>
      <c r="H35" s="1235" t="str">
        <f>ROUND(H22-(H22*0.09),0)&amp;" g mel"</f>
        <v>556 g mel</v>
      </c>
      <c r="I35" s="1002"/>
      <c r="J35" s="1003"/>
      <c r="K35" s="999"/>
      <c r="L35" s="98"/>
    </row>
    <row r="36" spans="1:12" ht="15">
      <c r="A36" s="98"/>
      <c r="B36" s="5"/>
      <c r="L36" s="98"/>
    </row>
    <row r="37" spans="1:12" ht="15.75">
      <c r="A37" s="98"/>
      <c r="B37" s="987">
        <v>4</v>
      </c>
      <c r="C37" s="226" t="s">
        <v>1314</v>
      </c>
      <c r="D37" s="226"/>
      <c r="E37" s="226"/>
      <c r="F37" s="226"/>
      <c r="G37" s="303"/>
      <c r="H37" s="303"/>
      <c r="I37" s="494"/>
      <c r="J37" s="494"/>
      <c r="K37" s="494"/>
      <c r="L37" s="98"/>
    </row>
    <row r="38" spans="1:12" ht="15">
      <c r="A38" s="98"/>
      <c r="B38" s="5"/>
      <c r="L38" s="98"/>
    </row>
    <row r="39" spans="1:12" ht="15.75">
      <c r="A39" s="98"/>
      <c r="B39" s="987">
        <v>5</v>
      </c>
      <c r="C39" s="226" t="s">
        <v>820</v>
      </c>
      <c r="D39" s="226"/>
      <c r="E39" s="226"/>
      <c r="F39" s="226"/>
      <c r="G39" s="303"/>
      <c r="H39" s="303"/>
      <c r="I39" s="494"/>
      <c r="J39" s="494"/>
      <c r="K39" s="494"/>
      <c r="L39" s="98"/>
    </row>
    <row r="40" spans="1:12" ht="15">
      <c r="A40" s="98"/>
      <c r="B40" s="5"/>
      <c r="L40" s="98"/>
    </row>
    <row r="41" spans="1:12" ht="15.75">
      <c r="A41" s="98"/>
      <c r="B41" s="987">
        <v>6</v>
      </c>
      <c r="C41" s="226" t="str">
        <f>"Når dejen har hævet til det dobbelte, skal den formes til "&amp;F9&amp;" boller af "&amp;F10&amp;" g."</f>
        <v>Når dejen har hævet til det dobbelte, skal den formes til 4 boller af 270 g.</v>
      </c>
      <c r="D41" s="226"/>
      <c r="E41" s="226"/>
      <c r="F41" s="226"/>
      <c r="G41" s="303"/>
      <c r="H41" s="303"/>
      <c r="I41" s="494"/>
      <c r="J41" s="494"/>
      <c r="K41" s="494"/>
      <c r="L41" s="98"/>
    </row>
    <row r="42" spans="1:12" ht="15">
      <c r="A42" s="98"/>
      <c r="B42" s="5"/>
      <c r="L42" s="98"/>
    </row>
    <row r="43" spans="1:12" ht="15.75">
      <c r="A43" s="98"/>
      <c r="B43" s="986">
        <v>7</v>
      </c>
      <c r="C43" s="226" t="s">
        <v>821</v>
      </c>
      <c r="D43" s="226"/>
      <c r="E43" s="226"/>
      <c r="F43" s="226"/>
      <c r="G43" s="303"/>
      <c r="H43" s="303"/>
      <c r="I43" s="494"/>
      <c r="J43" s="494"/>
      <c r="K43" s="494"/>
      <c r="L43" s="98"/>
    </row>
    <row r="44" spans="1:12" ht="15.75">
      <c r="A44" s="98"/>
      <c r="B44" s="986"/>
      <c r="C44" s="226"/>
      <c r="D44" s="226"/>
      <c r="E44" s="226"/>
      <c r="F44" s="226"/>
      <c r="G44" s="303"/>
      <c r="H44" s="303"/>
      <c r="I44" s="494"/>
      <c r="J44" s="494"/>
      <c r="K44" s="494"/>
      <c r="L44" s="98"/>
    </row>
    <row r="45" spans="1:12" ht="15" customHeight="1">
      <c r="A45" s="98"/>
      <c r="B45" s="987"/>
      <c r="C45" s="507" t="s">
        <v>333</v>
      </c>
      <c r="D45" s="226"/>
      <c r="E45" s="226"/>
      <c r="F45" s="226"/>
      <c r="G45" s="303"/>
      <c r="H45" s="303"/>
      <c r="I45" s="303"/>
      <c r="J45" s="303"/>
      <c r="K45" s="303"/>
      <c r="L45" s="98"/>
    </row>
    <row r="46" spans="1:12" ht="15" customHeight="1">
      <c r="A46" s="98"/>
      <c r="B46" s="303"/>
      <c r="C46" s="303"/>
      <c r="D46" s="303"/>
      <c r="E46" s="303"/>
      <c r="F46" s="303"/>
      <c r="G46" s="303"/>
      <c r="H46" s="303"/>
      <c r="I46" s="303"/>
      <c r="J46" s="769" t="s">
        <v>523</v>
      </c>
      <c r="K46" s="303"/>
      <c r="L46" s="98"/>
    </row>
    <row r="47" spans="1:12" ht="15" customHeight="1">
      <c r="A47" s="98"/>
      <c r="B47" s="98"/>
      <c r="C47" s="98"/>
      <c r="D47" s="98"/>
      <c r="E47" s="98"/>
      <c r="F47" s="98"/>
      <c r="G47" s="98"/>
      <c r="H47" s="89"/>
      <c r="I47" s="89"/>
      <c r="J47" s="89"/>
      <c r="K47" s="89"/>
      <c r="L47" s="98"/>
    </row>
    <row r="48" spans="1:12"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sheetData>
  <sheetProtection algorithmName="SHA-512" hashValue="2Y1pHuIiyG0mO+6f1bCd+3vlOv6Nm2qUHNVVYqdY2yzpA4JjmRuVATMAnq0nHy62BYhDhJf+vq6X8e2seLo80Q==" saltValue="oZQuB4mys/7cC9Owv123AA==" spinCount="100000" sheet="1" objects="1" scenarios="1" selectLockedCells="1"/>
  <mergeCells count="4">
    <mergeCell ref="C1:G4"/>
    <mergeCell ref="B17:C19"/>
    <mergeCell ref="G21:J21"/>
    <mergeCell ref="G20:J20"/>
  </mergeCells>
  <pageMargins left="0.25" right="0.25" top="0.75" bottom="0.75" header="0.3" footer="0.3"/>
  <pageSetup paperSize="9" scale="83"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D500A-425E-4B20-BEEE-CD60344C446F}">
  <sheetPr codeName="Ark23">
    <tabColor rgb="FFFFFFCC"/>
    <pageSetUpPr fitToPage="1"/>
  </sheetPr>
  <dimension ref="A1:AH86"/>
  <sheetViews>
    <sheetView showGridLines="0" showRowColHeaders="0" zoomScaleNormal="100" workbookViewId="0">
      <pane ySplit="4" topLeftCell="A35" activePane="bottomLeft" state="frozen"/>
      <selection activeCell="C2" sqref="C2:I3"/>
      <selection pane="bottomLeft" activeCell="G13" sqref="G13"/>
    </sheetView>
  </sheetViews>
  <sheetFormatPr defaultColWidth="0" defaultRowHeight="15" zeroHeight="1"/>
  <cols>
    <col min="1" max="1" width="2.42578125" customWidth="1"/>
    <col min="2" max="2" width="6.140625" customWidth="1"/>
    <col min="3" max="3" width="7.85546875" customWidth="1"/>
    <col min="4" max="4" width="22" customWidth="1"/>
    <col min="5" max="5" width="13.7109375" customWidth="1"/>
    <col min="6" max="6" width="8" customWidth="1"/>
    <col min="7" max="7" width="7.7109375" customWidth="1"/>
    <col min="8" max="8" width="3.28515625" customWidth="1"/>
    <col min="9" max="9" width="5.7109375" customWidth="1"/>
    <col min="10" max="10" width="17.42578125" customWidth="1"/>
    <col min="11" max="11" width="2" customWidth="1"/>
    <col min="12" max="12" width="8.42578125" customWidth="1"/>
    <col min="13" max="13" width="34" style="1" customWidth="1"/>
    <col min="14" max="14" width="3.28515625" customWidth="1"/>
    <col min="15" max="15" width="4.28515625" customWidth="1"/>
    <col min="16" max="16" width="3" customWidth="1"/>
    <col min="17" max="17" width="8" customWidth="1"/>
    <col min="18" max="18" width="19.85546875" style="147" customWidth="1"/>
    <col min="19" max="19" width="9.28515625" style="147" customWidth="1"/>
    <col min="20" max="20" width="8" style="18" customWidth="1"/>
    <col min="21" max="21" width="4.85546875" customWidth="1"/>
    <col min="22" max="22" width="4.28515625" customWidth="1"/>
    <col min="23" max="23" width="5.42578125" hidden="1" customWidth="1"/>
    <col min="24" max="24" width="15.5703125" hidden="1" customWidth="1"/>
    <col min="25" max="25" width="18.140625" hidden="1" customWidth="1"/>
    <col min="26" max="26" width="6.85546875" hidden="1" customWidth="1"/>
    <col min="27" max="27" width="10" hidden="1" customWidth="1"/>
    <col min="28" max="28" width="9.140625" hidden="1" customWidth="1"/>
    <col min="29" max="29" width="12.140625" hidden="1" customWidth="1"/>
    <col min="30" max="30" width="6.42578125" hidden="1" customWidth="1"/>
    <col min="31" max="31" width="7" hidden="1" customWidth="1"/>
    <col min="32" max="32" width="8.140625" hidden="1" customWidth="1"/>
    <col min="33" max="33" width="12" hidden="1" customWidth="1"/>
    <col min="34" max="16384" width="9.140625" hidden="1"/>
  </cols>
  <sheetData>
    <row r="1" spans="1:34" ht="15" customHeight="1">
      <c r="A1" s="217"/>
      <c r="B1" s="217"/>
      <c r="C1" s="217"/>
      <c r="D1" s="221"/>
      <c r="E1" s="218"/>
      <c r="F1" s="218"/>
      <c r="G1" s="218"/>
      <c r="H1" s="218"/>
      <c r="I1" s="218"/>
      <c r="J1" s="218"/>
      <c r="K1" s="217"/>
      <c r="L1" s="217"/>
      <c r="M1" s="222"/>
      <c r="N1" s="217"/>
      <c r="O1" s="217"/>
      <c r="P1" s="217"/>
      <c r="Q1" s="217"/>
      <c r="R1" s="223"/>
      <c r="S1" s="223"/>
      <c r="T1" s="220"/>
      <c r="U1" s="217"/>
      <c r="V1" s="217"/>
    </row>
    <row r="2" spans="1:34" ht="15" customHeight="1">
      <c r="A2" s="217"/>
      <c r="B2" s="217"/>
      <c r="C2" s="217"/>
      <c r="D2" s="1936" t="s">
        <v>669</v>
      </c>
      <c r="E2" s="1936"/>
      <c r="F2" s="1936"/>
      <c r="G2" s="1936"/>
      <c r="H2" s="1936"/>
      <c r="I2" s="1936"/>
      <c r="J2" s="1936"/>
      <c r="K2" s="1936"/>
      <c r="L2" s="1936"/>
      <c r="M2" s="1936"/>
      <c r="N2" s="1936"/>
      <c r="O2" s="1936"/>
      <c r="P2" s="217"/>
      <c r="Q2" s="217"/>
      <c r="R2" s="217"/>
      <c r="S2" s="217"/>
      <c r="T2" s="220"/>
      <c r="U2" s="217"/>
      <c r="V2" s="217"/>
      <c r="X2" s="529"/>
    </row>
    <row r="3" spans="1:34" ht="15" customHeight="1">
      <c r="A3" s="217"/>
      <c r="B3" s="217"/>
      <c r="C3" s="217"/>
      <c r="D3" s="1936"/>
      <c r="E3" s="1936"/>
      <c r="F3" s="1936"/>
      <c r="G3" s="1936"/>
      <c r="H3" s="1936"/>
      <c r="I3" s="1936"/>
      <c r="J3" s="1936"/>
      <c r="K3" s="1936"/>
      <c r="L3" s="1936"/>
      <c r="M3" s="1936"/>
      <c r="N3" s="1936"/>
      <c r="O3" s="1936"/>
      <c r="P3" s="217"/>
      <c r="Q3" s="217"/>
      <c r="R3" s="217"/>
      <c r="S3" s="217"/>
      <c r="T3" s="220"/>
      <c r="U3" s="217"/>
      <c r="V3" s="217"/>
    </row>
    <row r="4" spans="1:34" ht="15" customHeight="1" thickBot="1">
      <c r="A4" s="253"/>
      <c r="B4" s="253"/>
      <c r="C4" s="253"/>
      <c r="D4" s="346" t="s">
        <v>662</v>
      </c>
      <c r="E4" s="254"/>
      <c r="F4" s="254"/>
      <c r="G4" s="254"/>
      <c r="H4" s="254"/>
      <c r="I4" s="254"/>
      <c r="J4" s="254"/>
      <c r="K4" s="253"/>
      <c r="L4" s="253"/>
      <c r="M4" s="255"/>
      <c r="N4" s="253"/>
      <c r="O4" s="253"/>
      <c r="P4" s="217"/>
      <c r="Q4" s="217"/>
      <c r="R4" s="217"/>
      <c r="S4" s="217"/>
      <c r="T4" s="217"/>
      <c r="U4" s="217"/>
      <c r="V4" s="217"/>
    </row>
    <row r="5" spans="1:34" ht="14.25" customHeight="1" thickTop="1">
      <c r="A5" s="89"/>
      <c r="B5" s="98"/>
      <c r="C5" s="98"/>
      <c r="D5" s="145"/>
      <c r="E5" s="204"/>
      <c r="F5" s="130"/>
      <c r="G5" s="102"/>
      <c r="H5" s="1943"/>
      <c r="I5" s="1943"/>
      <c r="J5" s="98"/>
      <c r="K5" s="98"/>
      <c r="L5" s="215"/>
      <c r="M5" s="324"/>
      <c r="N5" s="98"/>
      <c r="O5" s="1627"/>
      <c r="P5" s="1923" t="s">
        <v>1075</v>
      </c>
      <c r="Q5" s="1923"/>
      <c r="R5" s="1923"/>
      <c r="S5" s="1923"/>
      <c r="T5" s="1923"/>
      <c r="U5" s="1923"/>
      <c r="V5" s="89"/>
    </row>
    <row r="6" spans="1:34" ht="9.75" customHeight="1" thickBot="1">
      <c r="A6" s="89"/>
      <c r="B6" s="98"/>
      <c r="C6" s="98"/>
      <c r="D6" s="145"/>
      <c r="E6" s="1026"/>
      <c r="F6" s="927"/>
      <c r="G6" s="1009"/>
      <c r="H6" s="1027"/>
      <c r="I6" s="1027"/>
      <c r="J6" s="104"/>
      <c r="K6" s="104"/>
      <c r="L6" s="1930" t="s">
        <v>445</v>
      </c>
      <c r="M6" s="1930"/>
      <c r="N6" s="98"/>
      <c r="O6" s="1627"/>
      <c r="P6" s="1924"/>
      <c r="Q6" s="1924"/>
      <c r="R6" s="1924"/>
      <c r="S6" s="1924"/>
      <c r="T6" s="1924"/>
      <c r="U6" s="1924"/>
      <c r="V6" s="89"/>
      <c r="AB6" s="1929" t="s">
        <v>664</v>
      </c>
      <c r="AC6" s="1929"/>
      <c r="AE6" s="1928" t="s">
        <v>970</v>
      </c>
      <c r="AF6" s="1928"/>
      <c r="AG6" s="1928"/>
      <c r="AH6" s="1928"/>
    </row>
    <row r="7" spans="1:34" s="155" customFormat="1" ht="17.25" thickTop="1" thickBot="1">
      <c r="A7" s="138"/>
      <c r="B7" s="214"/>
      <c r="C7" s="518" t="s">
        <v>663</v>
      </c>
      <c r="D7" s="277"/>
      <c r="E7" s="1026"/>
      <c r="F7" s="927"/>
      <c r="G7" s="1009"/>
      <c r="H7" s="1027"/>
      <c r="I7" s="1027"/>
      <c r="J7" s="103"/>
      <c r="K7" s="211"/>
      <c r="L7" s="1930"/>
      <c r="M7" s="1930"/>
      <c r="N7" s="212"/>
      <c r="O7" s="1626"/>
      <c r="P7" s="89"/>
      <c r="Q7" s="110" t="s">
        <v>1289</v>
      </c>
      <c r="R7" s="1845" t="s">
        <v>1290</v>
      </c>
      <c r="S7" s="1925"/>
      <c r="T7" s="1925"/>
      <c r="U7" s="1925"/>
      <c r="V7" s="138"/>
      <c r="X7" s="351" t="s">
        <v>418</v>
      </c>
      <c r="Y7" s="281"/>
      <c r="Z7" s="527"/>
      <c r="AA7" s="528" t="s">
        <v>382</v>
      </c>
      <c r="AB7" s="370" t="s">
        <v>660</v>
      </c>
      <c r="AC7" s="369" t="s">
        <v>388</v>
      </c>
      <c r="AE7" s="1244" t="s">
        <v>967</v>
      </c>
      <c r="AF7" s="1245" t="s">
        <v>388</v>
      </c>
      <c r="AG7" s="1241"/>
    </row>
    <row r="8" spans="1:34" ht="16.5" thickTop="1">
      <c r="A8" s="89"/>
      <c r="B8" s="214"/>
      <c r="C8" s="530">
        <f>HLOOKUP(G13,AA7:AC13,3,FALSE)</f>
        <v>0.65400000000000003</v>
      </c>
      <c r="D8" s="278" t="s">
        <v>1026</v>
      </c>
      <c r="E8" s="1026"/>
      <c r="F8" s="1020" t="s">
        <v>372</v>
      </c>
      <c r="G8" s="347">
        <v>6</v>
      </c>
      <c r="H8" s="110" t="s">
        <v>386</v>
      </c>
      <c r="I8" s="1027"/>
      <c r="J8" s="103"/>
      <c r="K8" s="103"/>
      <c r="L8" s="332"/>
      <c r="M8" s="1031" t="s">
        <v>1026</v>
      </c>
      <c r="N8" s="1944"/>
      <c r="O8" s="1945"/>
      <c r="P8" s="89"/>
      <c r="Q8" s="110" t="s">
        <v>1060</v>
      </c>
      <c r="R8" s="1621">
        <v>0.72916666666666663</v>
      </c>
      <c r="S8" s="1926" t="s">
        <v>644</v>
      </c>
      <c r="T8" s="1926"/>
      <c r="U8" s="1926"/>
      <c r="V8" s="89"/>
      <c r="X8" s="284">
        <f>IF(L12="",C12,L12)</f>
        <v>1.7999999999999999E-2</v>
      </c>
      <c r="Y8" s="283" t="str">
        <f>M12</f>
        <v>diastatisk malt / bageenzym</v>
      </c>
      <c r="Z8" s="522"/>
      <c r="AA8" t="s">
        <v>661</v>
      </c>
      <c r="AB8" s="516">
        <v>1.7716535433070866E-2</v>
      </c>
      <c r="AC8" s="482">
        <v>1.7999999999999999E-2</v>
      </c>
      <c r="AD8" s="37"/>
      <c r="AE8" s="1243">
        <v>2.5000000000000001E-3</v>
      </c>
      <c r="AF8" s="1243">
        <v>2.5000000000000001E-3</v>
      </c>
      <c r="AG8" s="516"/>
      <c r="AH8" s="1242"/>
    </row>
    <row r="9" spans="1:34" ht="16.5" thickBot="1">
      <c r="A9" s="89"/>
      <c r="B9" s="205"/>
      <c r="C9" s="1239">
        <f>HLOOKUP(G13,AA7:AC13,5,FALSE)</f>
        <v>1.7999999999999999E-2</v>
      </c>
      <c r="D9" s="279" t="s">
        <v>375</v>
      </c>
      <c r="E9" s="1026"/>
      <c r="F9" s="1020" t="s">
        <v>373</v>
      </c>
      <c r="G9" s="348">
        <v>270</v>
      </c>
      <c r="H9" s="110" t="s">
        <v>369</v>
      </c>
      <c r="I9" s="1027"/>
      <c r="J9" s="103"/>
      <c r="K9" s="103"/>
      <c r="L9" s="333"/>
      <c r="M9" s="1031" t="s">
        <v>375</v>
      </c>
      <c r="N9" s="1946"/>
      <c r="O9" s="1942"/>
      <c r="P9" s="89"/>
      <c r="Q9" s="104"/>
      <c r="R9" s="1811">
        <f ca="1">TODAY()+MOD(MATCH(R7,{"Mandag";"Tirsdag";"Onsdag";"Torsdag";"Fredag";"Lørdag";"Søndag"},0)-WEEKDAY(TODAY(),2)+7,7)</f>
        <v>45926</v>
      </c>
      <c r="S9" s="1611"/>
      <c r="T9" s="207"/>
      <c r="U9" s="103"/>
      <c r="V9" s="89"/>
      <c r="X9" s="284">
        <f>IF(L8="",C8,L8)</f>
        <v>0.65400000000000003</v>
      </c>
      <c r="Y9" s="285" t="s">
        <v>419</v>
      </c>
      <c r="Z9" s="523"/>
      <c r="AA9" t="s">
        <v>431</v>
      </c>
      <c r="AB9" s="516">
        <v>0.62795275590551181</v>
      </c>
      <c r="AC9" s="482">
        <v>0.65400000000000003</v>
      </c>
      <c r="AG9" s="516"/>
      <c r="AH9" s="1242"/>
    </row>
    <row r="10" spans="1:34" ht="16.5" thickTop="1">
      <c r="A10" s="89"/>
      <c r="B10" s="98"/>
      <c r="C10" s="531">
        <f>HLOOKUP(G13,AA7:AC13,4,FALSE)</f>
        <v>4.6400000000000009E-3</v>
      </c>
      <c r="D10" s="279" t="s">
        <v>385</v>
      </c>
      <c r="E10" s="1026"/>
      <c r="F10" s="1933" t="s">
        <v>382</v>
      </c>
      <c r="G10" s="1934">
        <f>G8*G9</f>
        <v>1620</v>
      </c>
      <c r="H10" s="1932" t="s">
        <v>369</v>
      </c>
      <c r="I10" s="1027"/>
      <c r="J10" s="103"/>
      <c r="K10" s="103"/>
      <c r="L10" s="517"/>
      <c r="M10" s="822" t="s">
        <v>385</v>
      </c>
      <c r="N10" s="1947">
        <f>IF(M10&lt;&gt;"tørgær",X10,IF(L10="",C10,""))</f>
        <v>4.6400000000000009E-3</v>
      </c>
      <c r="O10" s="1948"/>
      <c r="P10" s="89"/>
      <c r="Q10" s="104"/>
      <c r="R10" s="103"/>
      <c r="S10" s="1611"/>
      <c r="T10" s="207"/>
      <c r="U10" s="103"/>
      <c r="V10" s="89"/>
      <c r="X10" s="284">
        <f>IF(M10="tørgær",IF(L10="",C10,L10),IF(L10="",C10,L10)*Z25)</f>
        <v>4.6400000000000009E-3</v>
      </c>
      <c r="Y10" s="286" t="str">
        <f>Y25</f>
        <v>tørgær</v>
      </c>
      <c r="Z10" s="524"/>
      <c r="AA10" t="s">
        <v>299</v>
      </c>
      <c r="AB10" s="516">
        <v>4.6062992125984262E-3</v>
      </c>
      <c r="AC10" s="482">
        <v>4.6400000000000009E-3</v>
      </c>
    </row>
    <row r="11" spans="1:34" ht="15.75">
      <c r="A11" s="89"/>
      <c r="B11" s="98"/>
      <c r="C11" s="1239">
        <f>HLOOKUP(G13,AA7:AC13,6,FALSE)</f>
        <v>9.9958844797265536E-3</v>
      </c>
      <c r="D11" s="279" t="s">
        <v>646</v>
      </c>
      <c r="E11" s="1026"/>
      <c r="F11" s="1933"/>
      <c r="G11" s="1935"/>
      <c r="H11" s="1932"/>
      <c r="I11" s="1027"/>
      <c r="J11" s="103"/>
      <c r="K11" s="103"/>
      <c r="L11" s="333"/>
      <c r="M11" s="1031" t="s">
        <v>646</v>
      </c>
      <c r="N11" s="1941"/>
      <c r="O11" s="1942"/>
      <c r="P11" s="89"/>
      <c r="Q11" s="1607" t="s">
        <v>1089</v>
      </c>
      <c r="R11" s="1608"/>
      <c r="S11" s="1633">
        <v>3.472222222222222E-3</v>
      </c>
      <c r="T11" s="1927" t="s">
        <v>644</v>
      </c>
      <c r="U11" s="1927"/>
      <c r="V11" s="89"/>
      <c r="X11" s="284">
        <f>IF(L9="",C9,L9)</f>
        <v>1.7999999999999999E-2</v>
      </c>
      <c r="Y11" s="286" t="s">
        <v>375</v>
      </c>
      <c r="Z11" s="524"/>
      <c r="AA11" t="s">
        <v>375</v>
      </c>
      <c r="AB11" s="516">
        <v>1.7716535433070866E-2</v>
      </c>
      <c r="AC11" s="482">
        <v>1.7999999999999999E-2</v>
      </c>
    </row>
    <row r="12" spans="1:34" s="105" customFormat="1" ht="15.75">
      <c r="A12" s="103"/>
      <c r="B12" s="104"/>
      <c r="C12" s="1239">
        <f>HLOOKUP(G13,AA7:AC13,2,FALSE)</f>
        <v>1.7999999999999999E-2</v>
      </c>
      <c r="D12" s="279" t="s">
        <v>671</v>
      </c>
      <c r="E12" s="1026"/>
      <c r="F12" s="1020"/>
      <c r="G12" s="360"/>
      <c r="H12" s="475"/>
      <c r="I12" s="1005"/>
      <c r="J12" s="103"/>
      <c r="K12" s="103"/>
      <c r="L12" s="331"/>
      <c r="M12" s="1030" t="s">
        <v>925</v>
      </c>
      <c r="N12" s="1939"/>
      <c r="O12" s="1940"/>
      <c r="P12" s="89"/>
      <c r="Q12" s="110" t="s">
        <v>1146</v>
      </c>
      <c r="R12" s="1609"/>
      <c r="S12" s="1620">
        <v>0.75</v>
      </c>
      <c r="T12" s="1031" t="s">
        <v>644</v>
      </c>
      <c r="U12" s="1031"/>
      <c r="V12" s="103"/>
      <c r="X12" s="942">
        <f>IF(L11="",C11,L11)</f>
        <v>9.9958844797265536E-3</v>
      </c>
      <c r="Y12" s="943" t="str">
        <f>M11</f>
        <v>olivenolie</v>
      </c>
      <c r="Z12" s="1006"/>
      <c r="AA12" s="105" t="s">
        <v>646</v>
      </c>
      <c r="AB12" s="1007">
        <v>9.8425196850393699E-3</v>
      </c>
      <c r="AC12" s="1008">
        <v>9.9958844797265536E-3</v>
      </c>
    </row>
    <row r="13" spans="1:34" s="105" customFormat="1" ht="16.5" thickBot="1">
      <c r="A13" s="103"/>
      <c r="B13" s="104"/>
      <c r="C13" s="1238">
        <f>IF(G13="Tiga",0.108267716535433,0.0939624333855603)</f>
        <v>9.3962433385560304E-2</v>
      </c>
      <c r="D13" s="532" t="str">
        <f>G13</f>
        <v>poolish</v>
      </c>
      <c r="E13" s="1026"/>
      <c r="F13" s="1020" t="s">
        <v>659</v>
      </c>
      <c r="G13" s="515" t="s">
        <v>388</v>
      </c>
      <c r="H13" s="475"/>
      <c r="I13" s="1009"/>
      <c r="J13" s="103"/>
      <c r="K13" s="103"/>
      <c r="L13" s="1010"/>
      <c r="M13" s="1010"/>
      <c r="N13" s="1937"/>
      <c r="O13" s="1949"/>
      <c r="P13" s="89"/>
      <c r="Q13" s="475"/>
      <c r="R13" s="1610"/>
      <c r="S13" s="1610"/>
      <c r="T13" s="1031"/>
      <c r="U13" s="1031"/>
      <c r="V13" s="103"/>
      <c r="X13" s="1011">
        <v>1</v>
      </c>
      <c r="Y13" s="1012" t="s">
        <v>420</v>
      </c>
      <c r="Z13" s="1013"/>
      <c r="AA13" s="467" t="s">
        <v>83</v>
      </c>
      <c r="AB13" s="1014">
        <v>1</v>
      </c>
      <c r="AC13" s="1015">
        <v>1</v>
      </c>
    </row>
    <row r="14" spans="1:34" s="105" customFormat="1" ht="16.5" thickTop="1">
      <c r="A14" s="103"/>
      <c r="B14" s="104"/>
      <c r="C14" s="519"/>
      <c r="D14" s="520"/>
      <c r="E14" s="198"/>
      <c r="F14" s="521"/>
      <c r="G14" s="1227" t="str">
        <f>IF(G13="Tiga","(Tony's biga)","")</f>
        <v/>
      </c>
      <c r="H14" s="103"/>
      <c r="I14" s="1009"/>
      <c r="J14" s="1009"/>
      <c r="K14" s="103"/>
      <c r="L14" s="1010"/>
      <c r="M14" s="1010"/>
      <c r="N14" s="1937"/>
      <c r="O14" s="1938"/>
      <c r="P14" s="89"/>
      <c r="Q14" s="475"/>
      <c r="R14" s="1610"/>
      <c r="S14" s="1610"/>
      <c r="T14" s="1031"/>
      <c r="U14" s="1031"/>
      <c r="V14" s="103"/>
      <c r="X14" s="1021"/>
      <c r="Y14" s="1013"/>
      <c r="Z14" s="1013"/>
      <c r="AA14" s="1013"/>
      <c r="AB14" s="1007">
        <v>1.6817716535433069</v>
      </c>
      <c r="AC14" s="1008">
        <v>1.7086400000000002</v>
      </c>
    </row>
    <row r="15" spans="1:34" s="105" customFormat="1" ht="15.75">
      <c r="A15" s="103"/>
      <c r="B15" s="104"/>
      <c r="C15" s="519"/>
      <c r="D15" s="520"/>
      <c r="E15" s="198"/>
      <c r="F15" s="521"/>
      <c r="G15" s="475"/>
      <c r="H15" s="103"/>
      <c r="I15" s="1009"/>
      <c r="J15" s="1016"/>
      <c r="K15" s="103"/>
      <c r="L15" s="1010"/>
      <c r="M15" s="1010"/>
      <c r="N15" s="1017"/>
      <c r="O15" s="1650"/>
      <c r="P15" s="89"/>
      <c r="Q15" s="1607" t="str">
        <f ca="1">Q29&amp;"  - Tilberedning"</f>
        <v>Dag 2  - Tilberedning</v>
      </c>
      <c r="R15" s="1608"/>
      <c r="S15" s="1633">
        <v>1.3888888888888888E-2</v>
      </c>
      <c r="T15" s="1927" t="s">
        <v>644</v>
      </c>
      <c r="U15" s="1927"/>
      <c r="V15" s="103"/>
      <c r="X15" s="1068"/>
      <c r="Y15" s="1013"/>
      <c r="Z15" s="1013"/>
    </row>
    <row r="16" spans="1:34" s="105" customFormat="1" ht="16.5" customHeight="1">
      <c r="A16" s="103"/>
      <c r="B16" s="104"/>
      <c r="C16" s="1018"/>
      <c r="D16" s="114"/>
      <c r="E16" s="114"/>
      <c r="F16" s="114"/>
      <c r="G16" s="114"/>
      <c r="H16" s="114"/>
      <c r="I16" s="103"/>
      <c r="J16" s="1010"/>
      <c r="K16" s="1010"/>
      <c r="L16" s="1010"/>
      <c r="M16" s="1010"/>
      <c r="N16" s="1010"/>
      <c r="O16" s="1651"/>
      <c r="P16" s="89"/>
      <c r="Q16" s="475" t="s">
        <v>1156</v>
      </c>
      <c r="R16" s="1610"/>
      <c r="S16" s="1580">
        <v>0.16666666666666666</v>
      </c>
      <c r="T16" s="1031" t="s">
        <v>644</v>
      </c>
      <c r="U16" s="1690" t="s">
        <v>746</v>
      </c>
      <c r="V16" s="103"/>
      <c r="X16" s="1147"/>
    </row>
    <row r="17" spans="1:29" ht="15.75" customHeight="1">
      <c r="A17" s="89"/>
      <c r="B17" s="1455"/>
      <c r="C17" s="1456"/>
      <c r="D17" s="1456"/>
      <c r="E17" s="1456"/>
      <c r="F17" s="1456"/>
      <c r="G17" s="1456"/>
      <c r="H17" s="1456"/>
      <c r="I17" s="1456"/>
      <c r="J17" s="1456"/>
      <c r="K17" s="1456"/>
      <c r="L17" s="9"/>
      <c r="M17" s="25"/>
      <c r="N17" s="10"/>
      <c r="O17" s="1627"/>
      <c r="P17" s="89"/>
      <c r="Q17" s="475" t="str">
        <f>"Temperering af "&amp;G13</f>
        <v>Temperering af poolish</v>
      </c>
      <c r="R17" s="104"/>
      <c r="S17" s="1612">
        <v>4.1666666666666664E-2</v>
      </c>
      <c r="T17" s="1031" t="s">
        <v>644</v>
      </c>
      <c r="U17" s="1690"/>
      <c r="V17" s="89"/>
      <c r="X17" s="1240"/>
    </row>
    <row r="18" spans="1:29" ht="15.75" customHeight="1">
      <c r="A18" s="89"/>
      <c r="B18" s="1457"/>
      <c r="C18" s="1931" t="str">
        <f>D2</f>
        <v>Tony Gemignani's Master Dough with Starter</v>
      </c>
      <c r="D18" s="1931"/>
      <c r="E18" s="1931"/>
      <c r="F18" s="1931"/>
      <c r="G18" s="1931"/>
      <c r="H18" s="1931"/>
      <c r="I18" s="1931"/>
      <c r="J18" s="1931"/>
      <c r="K18" s="1459"/>
      <c r="N18" s="6"/>
      <c r="O18" s="1627"/>
      <c r="P18" s="89"/>
      <c r="Q18" s="475" t="s">
        <v>1153</v>
      </c>
      <c r="R18" s="104"/>
      <c r="S18" s="1612">
        <v>1.3888888888888888E-2</v>
      </c>
      <c r="T18" s="1031" t="s">
        <v>644</v>
      </c>
      <c r="U18" s="1690"/>
      <c r="V18" s="89"/>
    </row>
    <row r="19" spans="1:29" ht="15.75" customHeight="1">
      <c r="A19" s="89"/>
      <c r="B19" s="7"/>
      <c r="C19" s="1931"/>
      <c r="D19" s="1931"/>
      <c r="E19" s="1931"/>
      <c r="F19" s="1931"/>
      <c r="G19" s="1931"/>
      <c r="H19" s="1931"/>
      <c r="I19" s="1931"/>
      <c r="J19" s="1931"/>
      <c r="K19" s="5"/>
      <c r="N19" s="6"/>
      <c r="O19" s="1627"/>
      <c r="P19" s="89"/>
      <c r="Q19" s="475" t="s">
        <v>1154</v>
      </c>
      <c r="R19" s="104"/>
      <c r="S19" s="1579">
        <v>0.9375</v>
      </c>
      <c r="T19" s="1031" t="s">
        <v>644</v>
      </c>
      <c r="U19" s="1690" t="s">
        <v>746</v>
      </c>
      <c r="V19" s="89"/>
      <c r="X19" s="43" t="s">
        <v>299</v>
      </c>
      <c r="Y19" s="53" t="s">
        <v>809</v>
      </c>
      <c r="Z19" s="911" t="s">
        <v>756</v>
      </c>
      <c r="AC19" s="938"/>
    </row>
    <row r="20" spans="1:29" ht="15.75" customHeight="1">
      <c r="A20" s="89"/>
      <c r="B20" s="7"/>
      <c r="C20" s="1460" t="s">
        <v>668</v>
      </c>
      <c r="D20" s="1458"/>
      <c r="E20" s="1458"/>
      <c r="F20" s="1458"/>
      <c r="G20" s="1458"/>
      <c r="H20" s="1458"/>
      <c r="I20" s="1458"/>
      <c r="J20" s="1458"/>
      <c r="K20" s="5"/>
      <c r="L20" s="1206"/>
      <c r="N20" s="6"/>
      <c r="O20" s="1627"/>
      <c r="P20" s="89"/>
      <c r="Q20" s="89"/>
      <c r="R20" s="1669" t="str">
        <f>IF(S19&lt;1.00001,"( for en dag ekstra, tilføj +24:00  =  "&amp;TEXT(S19+20/24,"[t]:mm")&amp;"  tt:mm )","")</f>
        <v>( for en dag ekstra, tilføj +24:00  =  42:30  tt:mm )</v>
      </c>
      <c r="S20" s="1668"/>
      <c r="T20" s="89"/>
      <c r="U20" s="89"/>
      <c r="V20" s="89"/>
      <c r="X20" s="1028"/>
      <c r="Y20" s="1029"/>
      <c r="Z20" s="911"/>
    </row>
    <row r="21" spans="1:29">
      <c r="A21" s="89"/>
      <c r="B21" s="7"/>
      <c r="D21" s="5"/>
      <c r="E21" s="5"/>
      <c r="F21" s="5"/>
      <c r="G21" s="5"/>
      <c r="N21" s="6"/>
      <c r="O21" s="1627"/>
      <c r="P21" s="89"/>
      <c r="Q21" s="89"/>
      <c r="R21" s="98"/>
      <c r="S21" s="1668"/>
      <c r="T21" s="98"/>
      <c r="U21" s="89"/>
      <c r="V21" s="89"/>
      <c r="X21" s="44" t="s">
        <v>385</v>
      </c>
      <c r="Y21" s="45" t="s">
        <v>385</v>
      </c>
      <c r="Z21" s="912">
        <v>1</v>
      </c>
      <c r="AC21" s="529"/>
    </row>
    <row r="22" spans="1:29" ht="15" customHeight="1">
      <c r="A22" s="89"/>
      <c r="B22" s="1497" t="s">
        <v>746</v>
      </c>
      <c r="C22" s="1461" t="s">
        <v>944</v>
      </c>
      <c r="F22" s="5"/>
      <c r="G22" s="5"/>
      <c r="H22" s="1901" t="s">
        <v>1043</v>
      </c>
      <c r="I22" s="1902"/>
      <c r="J22" s="1902"/>
      <c r="K22" s="1902"/>
      <c r="L22" s="1902"/>
      <c r="M22" s="1903"/>
      <c r="N22" s="6"/>
      <c r="O22" s="1650"/>
      <c r="P22" s="89"/>
      <c r="Q22" s="1607" t="str">
        <f ca="1">Q30</f>
        <v>Dag 3</v>
      </c>
      <c r="R22" s="1608"/>
      <c r="S22" s="1633"/>
      <c r="T22" s="1031"/>
      <c r="U22" s="1031"/>
      <c r="V22" s="89"/>
      <c r="X22" s="44" t="s">
        <v>810</v>
      </c>
      <c r="Y22" s="45" t="s">
        <v>376</v>
      </c>
      <c r="Z22" s="913">
        <v>4</v>
      </c>
    </row>
    <row r="23" spans="1:29" ht="15" customHeight="1">
      <c r="A23" s="89"/>
      <c r="B23" s="44"/>
      <c r="C23" s="1462" t="s">
        <v>1165</v>
      </c>
      <c r="F23" s="5"/>
      <c r="G23" s="5"/>
      <c r="H23" s="1898" t="str">
        <f>G8&amp;" pizzaer a "&amp;ROUND(G9,0)&amp;" g.  -   "&amp;ROUND(X9*100,0)&amp;"% hydrering"</f>
        <v>6 pizzaer a 270 g.  -   65% hydrering</v>
      </c>
      <c r="I23" s="1899"/>
      <c r="J23" s="1899"/>
      <c r="K23" s="1899"/>
      <c r="L23" s="1899"/>
      <c r="M23" s="1900"/>
      <c r="N23" s="6"/>
      <c r="O23" s="1627"/>
      <c r="P23" s="89"/>
      <c r="Q23" s="475" t="s">
        <v>1155</v>
      </c>
      <c r="R23" s="104"/>
      <c r="S23" s="1579">
        <v>0.125</v>
      </c>
      <c r="T23" s="1031" t="s">
        <v>644</v>
      </c>
      <c r="U23" s="1600"/>
      <c r="V23" s="89"/>
      <c r="X23" s="44" t="s">
        <v>811</v>
      </c>
      <c r="Y23" s="45" t="s">
        <v>376</v>
      </c>
      <c r="Z23" s="913">
        <v>3</v>
      </c>
    </row>
    <row r="24" spans="1:29">
      <c r="A24" s="89"/>
      <c r="B24" s="44"/>
      <c r="C24" s="1462" t="s">
        <v>1166</v>
      </c>
      <c r="F24" s="5"/>
      <c r="G24" s="5"/>
      <c r="H24" s="44"/>
      <c r="M24" s="1401"/>
      <c r="N24" s="6"/>
      <c r="O24" s="1627"/>
      <c r="P24" s="89"/>
      <c r="Q24" s="787"/>
      <c r="R24" s="89"/>
      <c r="S24" s="89"/>
      <c r="T24" s="89"/>
      <c r="U24" s="89"/>
      <c r="V24" s="89"/>
      <c r="X24" s="44" t="s">
        <v>805</v>
      </c>
      <c r="Y24" s="45" t="s">
        <v>808</v>
      </c>
      <c r="Z24" s="914">
        <v>3</v>
      </c>
    </row>
    <row r="25" spans="1:29" ht="15.75">
      <c r="A25" s="89"/>
      <c r="B25" s="1499" t="s">
        <v>746</v>
      </c>
      <c r="C25" s="5" t="s">
        <v>1172</v>
      </c>
      <c r="D25" s="5"/>
      <c r="E25" s="5"/>
      <c r="G25" s="5"/>
      <c r="H25" s="7"/>
      <c r="I25" s="1463" t="str">
        <f>G13&amp;IF(G13="Tiga","    (Tony's Biga)","")</f>
        <v>poolish</v>
      </c>
      <c r="J25" s="1423"/>
      <c r="K25" s="1473"/>
      <c r="L25" s="1424" t="s">
        <v>201</v>
      </c>
      <c r="M25" s="1425"/>
      <c r="N25" s="6"/>
      <c r="O25" s="1627"/>
      <c r="P25" s="89"/>
      <c r="Q25" s="787"/>
      <c r="R25" s="89"/>
      <c r="S25" s="89"/>
      <c r="T25" s="89"/>
      <c r="U25" s="89"/>
      <c r="V25" s="89"/>
      <c r="X25" s="909" t="s">
        <v>764</v>
      </c>
      <c r="Y25" s="910" t="str">
        <f>VLOOKUP(M10,X21:Y24,2,FALSE)</f>
        <v>tørgær</v>
      </c>
      <c r="Z25" s="921">
        <f>VLOOKUP(M10,X21:Z24,3,FALSE)</f>
        <v>1</v>
      </c>
      <c r="AC25" s="529"/>
    </row>
    <row r="26" spans="1:29" ht="16.5" thickBot="1">
      <c r="A26" s="89"/>
      <c r="B26" s="1498" t="s">
        <v>746</v>
      </c>
      <c r="C26" s="1461" t="s">
        <v>1220</v>
      </c>
      <c r="G26" s="5"/>
      <c r="H26" s="7"/>
      <c r="I26" s="1464">
        <f>I28*IF(G13="Tiga",70.9090909090909%,1)</f>
        <v>89.29715927637335</v>
      </c>
      <c r="J26" s="1426" t="s">
        <v>1149</v>
      </c>
      <c r="K26" s="1473"/>
      <c r="L26" s="1405">
        <f>(G10*(X9/SUM(X8:X13)))*IF(G13="tiga",0.219435736677116,0.213981727405466)</f>
        <v>132.99576913502398</v>
      </c>
      <c r="M26" s="1406" t="s">
        <v>1148</v>
      </c>
      <c r="N26" s="6"/>
      <c r="O26" s="1627"/>
      <c r="P26" s="89"/>
      <c r="Q26" s="1601" t="str">
        <f ca="1">"Samlet tid  ("&amp;_xlfn.DAYS(R30,R28)&amp;" dage)"</f>
        <v>Samlet tid  (2 dage)</v>
      </c>
      <c r="R26" s="1602"/>
      <c r="S26" s="1603">
        <f>SUM(S11:S23)</f>
        <v>2.052083333333333</v>
      </c>
      <c r="T26" s="1604" t="s">
        <v>644</v>
      </c>
      <c r="U26" s="89"/>
      <c r="V26" s="89"/>
    </row>
    <row r="27" spans="1:29" ht="15.75">
      <c r="A27" s="89"/>
      <c r="B27" s="7"/>
      <c r="C27" s="1461" t="s">
        <v>1246</v>
      </c>
      <c r="E27" s="5"/>
      <c r="F27" s="5"/>
      <c r="G27" s="5"/>
      <c r="H27" s="7"/>
      <c r="I27" s="1465">
        <f>I28*HLOOKUP(G13,AE7:AF8,2,FALSE)</f>
        <v>0.22324289819093338</v>
      </c>
      <c r="J27" s="1426" t="str">
        <f>"g "&amp;Y25</f>
        <v>g tørgær</v>
      </c>
      <c r="K27" s="1473"/>
      <c r="L27" s="1466">
        <f>((I28+L28)*X10)*IF(G13="Tiga",0.94017094017094,0.946)</f>
        <v>4.1715024684994964</v>
      </c>
      <c r="M27" s="1406" t="str">
        <f>"g "&amp;Y25</f>
        <v>g tørgær</v>
      </c>
      <c r="N27" s="6"/>
      <c r="O27" s="1627"/>
      <c r="P27" s="89"/>
      <c r="Q27" s="103"/>
      <c r="R27" s="1605"/>
      <c r="S27" s="1605"/>
      <c r="T27" s="1606"/>
      <c r="U27" s="89"/>
      <c r="V27" s="89"/>
    </row>
    <row r="28" spans="1:29" ht="15.75">
      <c r="A28" s="89"/>
      <c r="B28" s="44"/>
      <c r="C28" s="1462" t="s">
        <v>1221</v>
      </c>
      <c r="E28" s="1700" t="s">
        <v>1219</v>
      </c>
      <c r="F28" s="5"/>
      <c r="G28" s="5"/>
      <c r="H28" s="7"/>
      <c r="I28" s="1675">
        <f>G10*(X13/(SUM(X8:X13)))*C13</f>
        <v>89.29715927637335</v>
      </c>
      <c r="J28" s="1676" t="s">
        <v>972</v>
      </c>
      <c r="K28" s="1473"/>
      <c r="L28" s="1405">
        <f>G10*(X13/(SUM(X8:X13)))-I28</f>
        <v>861.05242256083045</v>
      </c>
      <c r="M28" s="1406" t="s">
        <v>12</v>
      </c>
      <c r="N28" s="6"/>
      <c r="O28" s="1627"/>
      <c r="P28" s="89"/>
      <c r="Q28" s="1551" t="s">
        <v>0</v>
      </c>
      <c r="R28" s="1922">
        <f ca="1">IF(R9="","?",R9-S26+R8)</f>
        <v>45924.677083333328</v>
      </c>
      <c r="S28" s="1922"/>
      <c r="T28" s="1922"/>
      <c r="U28" s="89"/>
      <c r="V28" s="89"/>
    </row>
    <row r="29" spans="1:29" ht="15.75">
      <c r="A29" s="89"/>
      <c r="B29" s="1499" t="s">
        <v>746</v>
      </c>
      <c r="C29" s="1462" t="s">
        <v>968</v>
      </c>
      <c r="E29" s="5"/>
      <c r="F29" s="5"/>
      <c r="G29" s="5"/>
      <c r="H29" s="7"/>
      <c r="I29" s="1467">
        <f>ROUND(SUM(I26:I28),0)</f>
        <v>179</v>
      </c>
      <c r="J29" s="292" t="s">
        <v>670</v>
      </c>
      <c r="K29" s="1473"/>
      <c r="L29" s="1468">
        <f>G10*(X11/SUM(X8:X13))</f>
        <v>17.106292473069669</v>
      </c>
      <c r="M29" s="1406" t="s">
        <v>29</v>
      </c>
      <c r="N29" s="6"/>
      <c r="O29" s="1627"/>
      <c r="P29" s="89"/>
      <c r="Q29" s="1551" t="str">
        <f ca="1">"Dag "&amp;IF(R9="","?",_xlfn.DAYS(R29,R28)+1)</f>
        <v>Dag 2</v>
      </c>
      <c r="R29" s="1922">
        <f ca="1">IF(R9="","?",R28+SUM(S11:S12))</f>
        <v>45925.430555555547</v>
      </c>
      <c r="S29" s="1922"/>
      <c r="T29" s="1922"/>
      <c r="U29" s="89"/>
      <c r="V29" s="89"/>
    </row>
    <row r="30" spans="1:29" ht="15.75" customHeight="1">
      <c r="A30" s="89"/>
      <c r="B30" s="44"/>
      <c r="C30" s="1462" t="s">
        <v>1171</v>
      </c>
      <c r="F30" s="5"/>
      <c r="G30" s="5"/>
      <c r="H30" s="7"/>
      <c r="I30" s="303"/>
      <c r="J30" s="303"/>
      <c r="K30" s="1473"/>
      <c r="L30" s="1405">
        <f>(G10*(X9/SUM(X8:X13)))*IF(G13="Tiga",0.658307210031348,0.641945182216399)</f>
        <v>398.98730740507256</v>
      </c>
      <c r="M30" s="1406" t="s">
        <v>1152</v>
      </c>
      <c r="N30" s="6"/>
      <c r="O30" s="1627"/>
      <c r="P30" s="89"/>
      <c r="Q30" s="1551" t="str">
        <f ca="1">"Dag "&amp;IF(R8="","?",_xlfn.DAYS(R30,R28)+1)</f>
        <v>Dag 3</v>
      </c>
      <c r="R30" s="1922">
        <f ca="1">IF(R9="","?",R28+SUM(S11:S19))</f>
        <v>45926.604166666664</v>
      </c>
      <c r="S30" s="1922"/>
      <c r="T30" s="1922"/>
      <c r="U30" s="1661"/>
      <c r="V30" s="89"/>
    </row>
    <row r="31" spans="1:29" ht="15.75" customHeight="1">
      <c r="A31" s="89"/>
      <c r="B31" s="44"/>
      <c r="C31" s="1461" t="s">
        <v>969</v>
      </c>
      <c r="E31" s="5"/>
      <c r="F31" s="5"/>
      <c r="G31" s="5"/>
      <c r="H31" s="7"/>
      <c r="I31" s="18"/>
      <c r="J31" s="18"/>
      <c r="K31" s="1473"/>
      <c r="L31" s="1468">
        <f>G10*(X8/(SUM(X8:X13)))</f>
        <v>17.106292473069669</v>
      </c>
      <c r="M31" s="1406" t="s">
        <v>926</v>
      </c>
      <c r="N31" s="6"/>
      <c r="O31" s="89"/>
      <c r="P31" s="1652"/>
      <c r="Q31" s="1632"/>
      <c r="R31" s="1631"/>
      <c r="S31" s="1631"/>
      <c r="T31" s="1631"/>
      <c r="U31" s="1631"/>
      <c r="V31" s="89"/>
      <c r="X31" s="67"/>
    </row>
    <row r="32" spans="1:29" ht="15.75" customHeight="1">
      <c r="A32" s="89"/>
      <c r="B32" s="1499" t="s">
        <v>746</v>
      </c>
      <c r="C32" s="5" t="s">
        <v>1150</v>
      </c>
      <c r="D32" s="5"/>
      <c r="E32" s="5"/>
      <c r="F32" s="5"/>
      <c r="G32" s="5"/>
      <c r="H32" s="7"/>
      <c r="J32" s="516"/>
      <c r="K32" s="1473"/>
      <c r="L32" s="1405">
        <f>G10*(X12/(SUM(X8:X13)))</f>
        <v>9.499584635401126</v>
      </c>
      <c r="M32" s="1406" t="s">
        <v>207</v>
      </c>
      <c r="N32" s="6"/>
      <c r="O32" s="89"/>
      <c r="P32" s="89"/>
      <c r="Q32" s="89"/>
      <c r="R32" s="134"/>
      <c r="S32" s="134"/>
      <c r="T32" s="93"/>
      <c r="U32" s="89"/>
      <c r="V32" s="89"/>
      <c r="X32" s="67"/>
    </row>
    <row r="33" spans="1:33" ht="15.75">
      <c r="A33" s="89"/>
      <c r="B33" s="7"/>
      <c r="C33" s="5" t="s">
        <v>1151</v>
      </c>
      <c r="D33" s="5"/>
      <c r="E33" s="5"/>
      <c r="F33" s="5"/>
      <c r="G33" s="5"/>
      <c r="H33" s="7"/>
      <c r="I33" s="1404"/>
      <c r="J33" s="303"/>
      <c r="K33" s="1473"/>
      <c r="L33" s="1405">
        <f>I29</f>
        <v>179</v>
      </c>
      <c r="M33" s="1406" t="str">
        <f>"g "&amp;G13</f>
        <v>g poolish</v>
      </c>
      <c r="N33" s="6"/>
      <c r="O33" s="89"/>
      <c r="P33" s="1653" t="s">
        <v>1202</v>
      </c>
      <c r="Q33" s="98"/>
      <c r="R33" s="134"/>
      <c r="S33" s="134"/>
      <c r="T33" s="1670"/>
      <c r="U33" s="89"/>
      <c r="V33" s="89"/>
      <c r="X33" s="67"/>
    </row>
    <row r="34" spans="1:33" ht="15.75" customHeight="1">
      <c r="A34" s="89"/>
      <c r="F34" s="5"/>
      <c r="G34" s="5"/>
      <c r="H34" s="2"/>
      <c r="I34" s="1472"/>
      <c r="J34" s="833"/>
      <c r="K34" s="833"/>
      <c r="L34" s="925"/>
      <c r="M34" s="1412"/>
      <c r="N34" s="6"/>
      <c r="O34" s="89"/>
      <c r="P34" s="98" t="s">
        <v>1201</v>
      </c>
      <c r="Q34" s="98"/>
      <c r="R34" s="134"/>
      <c r="S34" s="134"/>
      <c r="T34" s="1670"/>
      <c r="U34" s="89"/>
      <c r="V34" s="89"/>
      <c r="X34" s="67"/>
    </row>
    <row r="35" spans="1:33" ht="15.75" customHeight="1">
      <c r="A35" s="89"/>
      <c r="B35" s="7"/>
      <c r="C35" s="5"/>
      <c r="D35" s="5"/>
      <c r="E35" s="5"/>
      <c r="F35" s="5"/>
      <c r="G35" s="5"/>
      <c r="H35" s="5"/>
      <c r="I35" s="1404"/>
      <c r="J35" s="303"/>
      <c r="K35" s="303"/>
      <c r="L35" s="1405"/>
      <c r="M35" s="292"/>
      <c r="N35" s="6"/>
      <c r="O35" s="89"/>
      <c r="P35" s="98"/>
      <c r="Q35" s="98"/>
      <c r="R35" s="134"/>
      <c r="S35" s="134"/>
      <c r="T35" s="1670"/>
      <c r="U35" s="89"/>
      <c r="V35" s="89"/>
      <c r="X35" s="67"/>
    </row>
    <row r="36" spans="1:33">
      <c r="A36" s="89"/>
      <c r="B36" s="7"/>
      <c r="C36" s="5"/>
      <c r="D36" s="5"/>
      <c r="E36" s="5"/>
      <c r="F36" s="5"/>
      <c r="G36" s="5"/>
      <c r="H36" s="5"/>
      <c r="I36" s="5"/>
      <c r="J36" s="5"/>
      <c r="K36" s="5"/>
      <c r="L36" s="5"/>
      <c r="M36" s="11"/>
      <c r="N36" s="6"/>
      <c r="O36" s="89"/>
      <c r="P36" s="1691" t="s">
        <v>60</v>
      </c>
      <c r="Q36" s="98" t="s">
        <v>1179</v>
      </c>
      <c r="R36" s="134"/>
      <c r="S36" s="134"/>
      <c r="T36" s="1670"/>
      <c r="U36" s="89"/>
      <c r="V36" s="89"/>
      <c r="X36" s="525"/>
    </row>
    <row r="37" spans="1:33" ht="18.75">
      <c r="A37" s="89"/>
      <c r="B37" s="1470" t="s">
        <v>1035</v>
      </c>
      <c r="C37" s="1474" t="s">
        <v>0</v>
      </c>
      <c r="D37" s="1475" t="str">
        <f>"Starter ("&amp;G13&amp;")"</f>
        <v>Starter (poolish)</v>
      </c>
      <c r="E37" s="1231"/>
      <c r="F37" s="1232"/>
      <c r="G37" s="1233"/>
      <c r="H37" s="1233"/>
      <c r="I37" s="1233"/>
      <c r="J37" s="1037"/>
      <c r="K37" s="1037"/>
      <c r="L37" s="1797" t="str">
        <f ca="1">TEXT(R28,"dddd")</f>
        <v>onsdag</v>
      </c>
      <c r="M37" s="1799">
        <f ca="1">IF($R$8="","",R28)</f>
        <v>45924.677083333328</v>
      </c>
      <c r="N37" s="6"/>
      <c r="O37" s="89"/>
      <c r="P37" s="134"/>
      <c r="Q37" s="98" t="s">
        <v>1173</v>
      </c>
      <c r="R37" s="134"/>
      <c r="S37" s="134"/>
      <c r="T37" s="1670"/>
      <c r="U37" s="89"/>
      <c r="V37" s="89"/>
      <c r="X37" s="67"/>
      <c r="AG37" s="1123"/>
    </row>
    <row r="38" spans="1:33" ht="15.75">
      <c r="A38" s="89"/>
      <c r="B38" s="1057"/>
      <c r="C38" s="425"/>
      <c r="D38" s="425"/>
      <c r="E38" s="425"/>
      <c r="F38" s="425"/>
      <c r="G38" s="425"/>
      <c r="H38" s="425"/>
      <c r="I38" s="425"/>
      <c r="J38" s="425"/>
      <c r="K38" s="425"/>
      <c r="L38" s="425"/>
      <c r="M38" s="5"/>
      <c r="N38" s="6"/>
      <c r="O38" s="89"/>
      <c r="P38" s="134"/>
      <c r="Q38" s="98" t="s">
        <v>1174</v>
      </c>
      <c r="R38" s="134"/>
      <c r="S38" s="134"/>
      <c r="T38" s="1670"/>
      <c r="U38" s="89"/>
      <c r="V38" s="89"/>
    </row>
    <row r="39" spans="1:33" ht="18">
      <c r="A39" s="89"/>
      <c r="B39" s="1398" t="s">
        <v>1034</v>
      </c>
      <c r="C39" s="708">
        <v>1</v>
      </c>
      <c r="D39" s="425" t="str">
        <f>IF(M10="tørgær","Rør gæren ud i kold vand i 30 sek. indtil det skummer lidt (ingen skum = død gær).","Opløs gæren i vandet.")</f>
        <v>Rør gæren ud i kold vand i 30 sek. indtil det skummer lidt (ingen skum = død gær).</v>
      </c>
      <c r="E39" s="425"/>
      <c r="F39" s="425"/>
      <c r="G39" s="425"/>
      <c r="H39" s="425"/>
      <c r="I39" s="425"/>
      <c r="J39" s="425"/>
      <c r="K39" s="425"/>
      <c r="L39" s="1022"/>
      <c r="M39" s="1226" t="str">
        <f>ROUND(I26,0)&amp;" g vand (25°), "&amp;ROUND(I27,2)&amp;" g. "&amp;Y25</f>
        <v>89 g vand (25°), 0,22 g. tørgær</v>
      </c>
      <c r="N39" s="6"/>
      <c r="O39" s="89"/>
      <c r="P39" s="134"/>
      <c r="Q39" s="98" t="s">
        <v>1175</v>
      </c>
      <c r="R39" s="134"/>
      <c r="S39" s="134"/>
      <c r="T39" s="1670"/>
      <c r="U39" s="89"/>
      <c r="V39" s="89"/>
    </row>
    <row r="40" spans="1:33" ht="15.75">
      <c r="A40" s="89"/>
      <c r="B40" s="1059"/>
      <c r="C40" s="902"/>
      <c r="D40" s="425"/>
      <c r="E40" s="425"/>
      <c r="F40" s="425"/>
      <c r="G40" s="425"/>
      <c r="H40" s="425"/>
      <c r="I40" s="425"/>
      <c r="J40" s="425"/>
      <c r="K40" s="425"/>
      <c r="L40" s="425"/>
      <c r="M40" s="1388"/>
      <c r="N40" s="6"/>
      <c r="O40" s="89"/>
      <c r="P40" s="134"/>
      <c r="Q40" s="98" t="s">
        <v>1176</v>
      </c>
      <c r="R40" s="134"/>
      <c r="S40" s="134"/>
      <c r="T40" s="1670"/>
      <c r="U40" s="89"/>
      <c r="V40" s="89"/>
    </row>
    <row r="41" spans="1:33" ht="18">
      <c r="A41" s="89"/>
      <c r="B41" s="1398" t="s">
        <v>1034</v>
      </c>
      <c r="C41" s="708">
        <v>2</v>
      </c>
      <c r="D41" s="425" t="str">
        <f>IF(G13="Tiga","Tilsæt mel og bland med spredte fingre til der ikke er mere mel. Der må ikke æltes!","Tilsæt mel og rør det godt sammen til det hele er samlet godt.")</f>
        <v>Tilsæt mel og rør det godt sammen til det hele er samlet godt.</v>
      </c>
      <c r="E41" s="425"/>
      <c r="F41" s="425"/>
      <c r="G41" s="425"/>
      <c r="H41" s="425"/>
      <c r="I41" s="425"/>
      <c r="J41" s="425"/>
      <c r="K41" s="425"/>
      <c r="L41" s="1022"/>
      <c r="M41" s="1226" t="str">
        <f>ROUND(I28,0)&amp;" g. mel."</f>
        <v>89 g. mel.</v>
      </c>
      <c r="N41" s="6"/>
      <c r="O41" s="89"/>
      <c r="P41" s="134"/>
      <c r="Q41" s="98" t="s">
        <v>1177</v>
      </c>
      <c r="R41" s="134"/>
      <c r="S41" s="134"/>
      <c r="T41" s="1670"/>
      <c r="U41" s="89"/>
      <c r="V41" s="89"/>
    </row>
    <row r="42" spans="1:33" s="1693" customFormat="1" ht="15.75">
      <c r="A42" s="89"/>
      <c r="B42" s="1059"/>
      <c r="C42" s="902"/>
      <c r="D42" s="425"/>
      <c r="E42" s="425"/>
      <c r="F42" s="425"/>
      <c r="G42" s="425"/>
      <c r="H42" s="425"/>
      <c r="I42" s="425"/>
      <c r="J42" s="425"/>
      <c r="K42" s="425"/>
      <c r="L42" s="425"/>
      <c r="M42" s="852"/>
      <c r="N42" s="6"/>
      <c r="O42" s="89"/>
      <c r="P42" s="174"/>
      <c r="Q42" s="161" t="s">
        <v>1178</v>
      </c>
      <c r="R42" s="174"/>
      <c r="S42" s="174"/>
      <c r="T42" s="1692"/>
      <c r="U42" s="186"/>
      <c r="V42" s="186"/>
    </row>
    <row r="43" spans="1:33" ht="18">
      <c r="A43" s="89"/>
      <c r="B43" s="1398" t="s">
        <v>1034</v>
      </c>
      <c r="C43" s="708">
        <v>3</v>
      </c>
      <c r="D43" s="425" t="s">
        <v>1147</v>
      </c>
      <c r="E43" s="425"/>
      <c r="F43" s="425"/>
      <c r="G43" s="425"/>
      <c r="H43" s="425"/>
      <c r="I43" s="425"/>
      <c r="J43" s="425"/>
      <c r="L43" s="897"/>
      <c r="M43" s="897"/>
      <c r="N43" s="6"/>
      <c r="O43" s="89"/>
      <c r="P43" s="1691" t="s">
        <v>61</v>
      </c>
      <c r="Q43" s="98" t="s">
        <v>1180</v>
      </c>
      <c r="R43" s="134"/>
      <c r="S43" s="134"/>
      <c r="T43" s="1670"/>
      <c r="U43" s="89"/>
      <c r="V43" s="89"/>
    </row>
    <row r="44" spans="1:33" ht="15.75">
      <c r="A44" s="89"/>
      <c r="B44" s="1059"/>
      <c r="C44" s="1469"/>
      <c r="D44" s="1662"/>
      <c r="J44" s="425"/>
      <c r="K44" s="425"/>
      <c r="L44" s="425"/>
      <c r="M44" s="852"/>
      <c r="N44" s="6"/>
      <c r="O44" s="89"/>
      <c r="P44" s="134"/>
      <c r="Q44" s="98" t="s">
        <v>1181</v>
      </c>
      <c r="R44" s="134"/>
      <c r="S44" s="134"/>
      <c r="T44" s="1670"/>
      <c r="U44" s="89"/>
      <c r="V44" s="89"/>
    </row>
    <row r="45" spans="1:33" ht="15.75">
      <c r="A45" s="89"/>
      <c r="B45" s="1059"/>
      <c r="C45" s="708"/>
      <c r="D45" s="893"/>
      <c r="E45" s="425"/>
      <c r="F45" s="425"/>
      <c r="G45" s="425"/>
      <c r="H45" s="897"/>
      <c r="I45" s="425"/>
      <c r="J45" s="425"/>
      <c r="K45" s="425"/>
      <c r="L45" s="425"/>
      <c r="M45" s="852"/>
      <c r="N45" s="6"/>
      <c r="O45" s="89"/>
      <c r="P45" s="98"/>
      <c r="Q45" s="98" t="s">
        <v>1182</v>
      </c>
      <c r="R45" s="134"/>
      <c r="S45" s="134"/>
      <c r="T45" s="1670"/>
      <c r="U45" s="89"/>
      <c r="V45" s="89"/>
    </row>
    <row r="46" spans="1:33" ht="15.75">
      <c r="A46" s="89"/>
      <c r="B46" s="1059"/>
      <c r="C46" s="1023"/>
      <c r="D46" s="425"/>
      <c r="E46" s="425"/>
      <c r="F46" s="425"/>
      <c r="G46" s="425"/>
      <c r="H46" s="897"/>
      <c r="I46" s="425"/>
      <c r="J46" s="425"/>
      <c r="K46" s="425"/>
      <c r="L46" s="425"/>
      <c r="M46" s="852"/>
      <c r="N46" s="6"/>
      <c r="O46" s="89"/>
      <c r="P46" s="98"/>
      <c r="Q46" s="98" t="s">
        <v>1183</v>
      </c>
      <c r="R46" s="134"/>
      <c r="S46" s="134"/>
      <c r="T46" s="1670"/>
      <c r="U46" s="89"/>
      <c r="V46" s="89"/>
    </row>
    <row r="47" spans="1:33" ht="17.25">
      <c r="A47" s="89"/>
      <c r="B47" s="1471"/>
      <c r="C47" s="1474" t="str">
        <f ca="1">IF(R8="","Dag ",Q29)</f>
        <v>Dag 2</v>
      </c>
      <c r="D47" s="1476" t="s">
        <v>201</v>
      </c>
      <c r="E47" s="1234"/>
      <c r="F47" s="1232"/>
      <c r="G47" s="1233"/>
      <c r="H47" s="1233"/>
      <c r="I47" s="1233"/>
      <c r="J47" s="1037"/>
      <c r="K47" s="1037"/>
      <c r="L47" s="1797" t="str">
        <f ca="1">TEXT(R29,"dddd")</f>
        <v>torsdag</v>
      </c>
      <c r="M47" s="1799">
        <f ca="1">IF($R$8="","",R29)</f>
        <v>45925.430555555547</v>
      </c>
      <c r="N47" s="6"/>
      <c r="O47" s="89"/>
      <c r="P47" s="98"/>
      <c r="Q47" s="98" t="s">
        <v>1184</v>
      </c>
      <c r="R47" s="134"/>
      <c r="S47" s="134"/>
      <c r="T47" s="1670"/>
      <c r="U47" s="89"/>
      <c r="V47" s="89"/>
    </row>
    <row r="48" spans="1:33" ht="15.75">
      <c r="A48" s="89"/>
      <c r="B48" s="1059"/>
      <c r="C48" s="425"/>
      <c r="D48" s="425"/>
      <c r="E48" s="425"/>
      <c r="F48" s="425"/>
      <c r="G48" s="425"/>
      <c r="H48" s="425"/>
      <c r="I48" s="425"/>
      <c r="J48" s="425"/>
      <c r="K48" s="425"/>
      <c r="L48" s="425"/>
      <c r="M48" s="852"/>
      <c r="N48" s="6"/>
      <c r="O48" s="89"/>
      <c r="P48" s="161"/>
      <c r="Q48" s="161" t="s">
        <v>1185</v>
      </c>
      <c r="R48" s="174"/>
      <c r="S48" s="174"/>
      <c r="T48" s="1692"/>
      <c r="U48" s="186"/>
      <c r="V48" s="89"/>
    </row>
    <row r="49" spans="1:22" ht="18">
      <c r="A49" s="89"/>
      <c r="B49" s="1398" t="s">
        <v>1034</v>
      </c>
      <c r="C49" s="708">
        <v>4</v>
      </c>
      <c r="D49" s="1073" t="str">
        <f>IF(R8="","Sæt "&amp;G13&amp;"'en i køleskabet i op til 8 timer.","Sæt "&amp;G13&amp;"'en i køleskabet i ca. "&amp;TEXT(S16,"[t]:mm")&amp;" t:m.*")</f>
        <v>Sæt poolish'en i køleskabet i ca. 4:00 t:m.*</v>
      </c>
      <c r="E49" s="425"/>
      <c r="F49" s="425"/>
      <c r="H49" s="425"/>
      <c r="I49" s="425"/>
      <c r="J49" s="425"/>
      <c r="K49" s="425"/>
      <c r="L49" s="1663" t="str">
        <f ca="1">IF(R8="","","("&amp;TEXT(R28+S12+S11,"tt:mm")&amp;")")</f>
        <v>(10:20)</v>
      </c>
      <c r="M49" s="852"/>
      <c r="N49" s="6"/>
      <c r="O49" s="89"/>
      <c r="P49" s="1691" t="s">
        <v>62</v>
      </c>
      <c r="Q49" s="98" t="s">
        <v>1186</v>
      </c>
      <c r="R49" s="134"/>
      <c r="S49" s="134"/>
      <c r="T49" s="1670"/>
      <c r="U49" s="89"/>
      <c r="V49" s="89"/>
    </row>
    <row r="50" spans="1:22" ht="15.75">
      <c r="A50" s="89"/>
      <c r="B50" s="1059"/>
      <c r="C50" s="425"/>
      <c r="D50" s="425"/>
      <c r="E50" s="425"/>
      <c r="F50" s="425"/>
      <c r="G50" s="425"/>
      <c r="H50" s="425"/>
      <c r="I50" s="425"/>
      <c r="J50" s="425"/>
      <c r="K50" s="425"/>
      <c r="L50" s="1664"/>
      <c r="M50" s="852"/>
      <c r="N50" s="6"/>
      <c r="O50" s="89"/>
      <c r="P50" s="98"/>
      <c r="Q50" s="98" t="s">
        <v>1187</v>
      </c>
      <c r="R50" s="134"/>
      <c r="S50" s="134"/>
      <c r="T50" s="1670"/>
      <c r="U50" s="89"/>
      <c r="V50" s="89"/>
    </row>
    <row r="51" spans="1:22" ht="18">
      <c r="A51" s="89"/>
      <c r="B51" s="1398" t="s">
        <v>1034</v>
      </c>
      <c r="C51" s="708">
        <v>5</v>
      </c>
      <c r="D51" s="425" t="str">
        <f>"Tag "&amp;G13&amp;"'en ud og lad den tempere i 1 time ved stuetemperatur."</f>
        <v>Tag poolish'en ud og lad den tempere i 1 time ved stuetemperatur.</v>
      </c>
      <c r="F51" s="425"/>
      <c r="G51" s="425"/>
      <c r="H51" s="425"/>
      <c r="I51" s="425"/>
      <c r="J51" s="425"/>
      <c r="K51" s="425"/>
      <c r="L51" s="1663" t="str">
        <f ca="1">IF(R8="","","("&amp;TEXT(R28+S12+S11+S16,"tt:mm")&amp;")")</f>
        <v>(14:20)</v>
      </c>
      <c r="M51" s="852"/>
      <c r="N51" s="6"/>
      <c r="O51" s="89"/>
      <c r="P51" s="98"/>
      <c r="Q51" s="98" t="s">
        <v>1188</v>
      </c>
      <c r="R51" s="134"/>
      <c r="S51" s="134"/>
      <c r="T51" s="1670"/>
      <c r="U51" s="89"/>
      <c r="V51" s="89"/>
    </row>
    <row r="52" spans="1:22" ht="15.75">
      <c r="A52" s="89"/>
      <c r="B52" s="1059"/>
      <c r="C52" s="425"/>
      <c r="D52" s="425"/>
      <c r="E52" s="425"/>
      <c r="F52" s="425"/>
      <c r="G52" s="425"/>
      <c r="H52" s="425"/>
      <c r="I52" s="425"/>
      <c r="J52" s="425"/>
      <c r="K52" s="425"/>
      <c r="L52" s="1664"/>
      <c r="M52" s="852"/>
      <c r="N52" s="6"/>
      <c r="O52" s="89"/>
      <c r="P52" s="98"/>
      <c r="Q52" s="98" t="s">
        <v>1189</v>
      </c>
      <c r="R52" s="134"/>
      <c r="S52" s="134"/>
      <c r="T52" s="1670"/>
      <c r="U52" s="89"/>
      <c r="V52" s="89"/>
    </row>
    <row r="53" spans="1:22" ht="18">
      <c r="A53" s="89"/>
      <c r="B53" s="1398" t="s">
        <v>1034</v>
      </c>
      <c r="C53" s="708">
        <v>6</v>
      </c>
      <c r="D53" s="425" t="s">
        <v>971</v>
      </c>
      <c r="E53" s="902"/>
      <c r="F53" s="902"/>
      <c r="G53" s="425"/>
      <c r="H53" s="425"/>
      <c r="I53" s="425"/>
      <c r="J53" s="425"/>
      <c r="K53" s="425"/>
      <c r="L53" s="1663" t="str">
        <f ca="1">IF(R8="","","("&amp;TEXT(R28+S12+S16+S17+S11,"tt:mm")&amp;")")</f>
        <v>(15:20)</v>
      </c>
      <c r="M53" s="1803" t="str">
        <f>ROUND(L26,0)&amp;" g. vand (25°), "&amp;ROUND(L27,2)&amp;" g. tørgær"</f>
        <v>133 g. vand (25°), 4,17 g. tørgær</v>
      </c>
      <c r="N53" s="6"/>
      <c r="O53" s="89"/>
      <c r="P53" s="98"/>
      <c r="Q53" s="98" t="s">
        <v>1190</v>
      </c>
      <c r="R53" s="134"/>
      <c r="S53" s="134"/>
      <c r="T53" s="1670"/>
      <c r="U53" s="89"/>
      <c r="V53" s="89"/>
    </row>
    <row r="54" spans="1:22" ht="15.75">
      <c r="A54" s="89"/>
      <c r="B54" s="1059"/>
      <c r="C54" s="902"/>
      <c r="D54" s="425"/>
      <c r="E54" s="425"/>
      <c r="F54" s="425"/>
      <c r="G54" s="425"/>
      <c r="H54" s="425"/>
      <c r="I54" s="425"/>
      <c r="J54" s="425"/>
      <c r="K54" s="425"/>
      <c r="L54" s="226"/>
      <c r="M54" s="852"/>
      <c r="N54" s="6"/>
      <c r="O54" s="89"/>
      <c r="P54" s="161"/>
      <c r="Q54" s="161" t="s">
        <v>1191</v>
      </c>
      <c r="R54" s="174"/>
      <c r="S54" s="174"/>
      <c r="T54" s="1692"/>
      <c r="U54" s="186"/>
      <c r="V54" s="89"/>
    </row>
    <row r="55" spans="1:22" ht="18">
      <c r="A55" s="89"/>
      <c r="B55" s="1398" t="s">
        <v>1034</v>
      </c>
      <c r="C55" s="708">
        <v>7</v>
      </c>
      <c r="D55" s="425" t="str">
        <f>IF(L31=0,"Kom mel i skålen i din røremaskine","Bland mel og malt (eller bageenzym) i en røremaskine med dejkrog.")</f>
        <v>Bland mel og malt (eller bageenzym) i en røremaskine med dejkrog.</v>
      </c>
      <c r="E55" s="425"/>
      <c r="F55" s="425"/>
      <c r="G55" s="425"/>
      <c r="H55" s="425"/>
      <c r="I55" s="425"/>
      <c r="J55" s="425"/>
      <c r="K55" s="425"/>
      <c r="L55" s="1022"/>
      <c r="M55" s="1803" t="str">
        <f>ROUND(L28,0)&amp;" g. mel, "&amp;IF(L31&lt;&gt;0,ROUND(L31,0)&amp;" g. malt/bageenzym","")</f>
        <v>861 g. mel, 17 g. malt/bageenzym</v>
      </c>
      <c r="N55" s="6"/>
      <c r="O55" s="89"/>
      <c r="P55" s="1691" t="s">
        <v>63</v>
      </c>
      <c r="Q55" s="98" t="s">
        <v>1192</v>
      </c>
      <c r="R55" s="134"/>
      <c r="S55" s="134"/>
      <c r="T55" s="1670"/>
      <c r="U55" s="89"/>
      <c r="V55" s="89"/>
    </row>
    <row r="56" spans="1:22" ht="15.75">
      <c r="A56" s="89"/>
      <c r="B56" s="1059"/>
      <c r="C56" s="902"/>
      <c r="D56" s="425"/>
      <c r="E56" s="425"/>
      <c r="F56" s="425"/>
      <c r="G56" s="425"/>
      <c r="H56" s="425"/>
      <c r="I56" s="425"/>
      <c r="J56" s="425"/>
      <c r="K56" s="425"/>
      <c r="L56" s="425"/>
      <c r="M56" s="852"/>
      <c r="N56" s="6"/>
      <c r="O56" s="89"/>
      <c r="P56" s="98"/>
      <c r="Q56" s="98" t="s">
        <v>1193</v>
      </c>
      <c r="R56" s="134"/>
      <c r="S56" s="134"/>
      <c r="T56" s="1670"/>
      <c r="U56" s="89"/>
      <c r="V56" s="89"/>
    </row>
    <row r="57" spans="1:22" ht="18">
      <c r="A57" s="89"/>
      <c r="B57" s="1398" t="s">
        <v>1034</v>
      </c>
      <c r="C57" s="708">
        <v>8</v>
      </c>
      <c r="D57" s="425" t="str">
        <f>"Mens røremaskinen kører på laveste hastighed, tilsættes is-vand efterfulgt af"</f>
        <v>Mens røremaskinen kører på laveste hastighed, tilsættes is-vand efterfulgt af</v>
      </c>
      <c r="E57" s="425"/>
      <c r="F57" s="425"/>
      <c r="G57" s="425"/>
      <c r="H57" s="425"/>
      <c r="I57" s="425"/>
      <c r="J57" s="425"/>
      <c r="K57" s="425"/>
      <c r="L57" s="1022"/>
      <c r="M57" s="1801" t="str">
        <f>ROUND(L30,0)&amp;" g is-vand,"</f>
        <v>399 g is-vand,</v>
      </c>
      <c r="N57" s="6"/>
      <c r="O57" s="89"/>
      <c r="P57" s="98"/>
      <c r="Q57" s="98" t="s">
        <v>1194</v>
      </c>
      <c r="R57" s="134"/>
      <c r="S57" s="134"/>
      <c r="T57" s="1670"/>
      <c r="U57" s="89"/>
      <c r="V57" s="89"/>
    </row>
    <row r="58" spans="1:22" ht="15.75">
      <c r="A58" s="89"/>
      <c r="B58" s="1059"/>
      <c r="C58" s="708"/>
      <c r="D58" s="425" t="s">
        <v>1218</v>
      </c>
      <c r="E58" s="425"/>
      <c r="F58" s="425"/>
      <c r="G58" s="425"/>
      <c r="H58" s="425"/>
      <c r="I58" s="425"/>
      <c r="J58" s="425"/>
      <c r="K58" s="425"/>
      <c r="L58" s="425"/>
      <c r="M58" s="1802" t="str">
        <f>"vand/gærblanding."</f>
        <v>vand/gærblanding.</v>
      </c>
      <c r="N58" s="6"/>
      <c r="O58" s="89"/>
      <c r="P58" s="161"/>
      <c r="Q58" s="161" t="s">
        <v>1195</v>
      </c>
      <c r="R58" s="174"/>
      <c r="S58" s="174"/>
      <c r="T58" s="1692"/>
      <c r="U58" s="186"/>
      <c r="V58" s="89"/>
    </row>
    <row r="59" spans="1:22" ht="15.75">
      <c r="A59" s="89"/>
      <c r="B59" s="1059"/>
      <c r="C59" s="902"/>
      <c r="D59" s="425"/>
      <c r="E59" s="425"/>
      <c r="F59" s="425"/>
      <c r="G59" s="425"/>
      <c r="H59" s="425"/>
      <c r="I59" s="425"/>
      <c r="J59" s="425"/>
      <c r="K59" s="425"/>
      <c r="L59" s="425"/>
      <c r="M59" s="11"/>
      <c r="N59" s="6"/>
      <c r="O59" s="89"/>
      <c r="P59" s="1691" t="s">
        <v>64</v>
      </c>
      <c r="Q59" s="98" t="s">
        <v>1196</v>
      </c>
      <c r="R59" s="134"/>
      <c r="S59" s="134"/>
      <c r="T59" s="1670"/>
      <c r="U59" s="89"/>
      <c r="V59" s="89"/>
    </row>
    <row r="60" spans="1:22" ht="18">
      <c r="A60" s="89"/>
      <c r="B60" s="1398" t="s">
        <v>1034</v>
      </c>
      <c r="C60" s="940">
        <v>9</v>
      </c>
      <c r="D60" s="425" t="str">
        <f>"Bland i 15 sek. og tilføj "&amp;G13&amp;"'en."</f>
        <v>Bland i 15 sek. og tilføj poolish'en.</v>
      </c>
      <c r="E60" s="892"/>
      <c r="F60" s="892"/>
      <c r="G60" s="892"/>
      <c r="H60" s="892"/>
      <c r="I60" s="893"/>
      <c r="J60" s="893"/>
      <c r="K60" s="425"/>
      <c r="L60" s="425"/>
      <c r="M60" s="1800" t="str">
        <f>L33&amp;" g poolish (det hele)"</f>
        <v>179 g poolish (det hele)</v>
      </c>
      <c r="N60" s="6"/>
      <c r="O60" s="89"/>
      <c r="P60" s="98"/>
      <c r="Q60" s="98" t="s">
        <v>1197</v>
      </c>
      <c r="R60" s="134"/>
      <c r="S60" s="134"/>
      <c r="T60" s="1670"/>
      <c r="U60" s="89"/>
      <c r="V60" s="89"/>
    </row>
    <row r="61" spans="1:22" ht="15.75">
      <c r="A61" s="89"/>
      <c r="B61" s="1059"/>
      <c r="C61" s="902"/>
      <c r="D61" s="425"/>
      <c r="E61" s="425"/>
      <c r="F61" s="425"/>
      <c r="G61" s="425"/>
      <c r="H61" s="425"/>
      <c r="I61" s="425"/>
      <c r="J61" s="425"/>
      <c r="K61" s="425"/>
      <c r="L61" s="425"/>
      <c r="M61" s="11"/>
      <c r="N61" s="6"/>
      <c r="O61" s="89"/>
      <c r="P61" s="98"/>
      <c r="Q61" s="98" t="s">
        <v>1198</v>
      </c>
      <c r="R61" s="134"/>
      <c r="S61" s="134"/>
      <c r="T61" s="1670"/>
      <c r="U61" s="89"/>
      <c r="V61" s="89"/>
    </row>
    <row r="62" spans="1:22" ht="18">
      <c r="A62" s="89"/>
      <c r="B62" s="1398" t="s">
        <v>1034</v>
      </c>
      <c r="C62" s="940">
        <v>10</v>
      </c>
      <c r="D62" s="425" t="s">
        <v>1167</v>
      </c>
      <c r="E62" s="425"/>
      <c r="F62" s="425"/>
      <c r="G62" s="425"/>
      <c r="H62" s="425"/>
      <c r="I62" s="425"/>
      <c r="J62" s="425"/>
      <c r="K62" s="425"/>
      <c r="L62" s="425"/>
      <c r="M62" s="11"/>
      <c r="N62" s="6"/>
      <c r="O62" s="89"/>
      <c r="P62" s="98"/>
      <c r="Q62" s="98" t="s">
        <v>1199</v>
      </c>
      <c r="R62" s="134"/>
      <c r="S62" s="134"/>
      <c r="T62" s="1670"/>
      <c r="U62" s="89"/>
      <c r="V62" s="89"/>
    </row>
    <row r="63" spans="1:22" ht="15.75">
      <c r="A63" s="89"/>
      <c r="B63" s="1059"/>
      <c r="C63" s="902"/>
      <c r="D63" s="893" t="s">
        <v>665</v>
      </c>
      <c r="E63" s="425"/>
      <c r="F63" s="425"/>
      <c r="G63" s="425"/>
      <c r="H63" s="425"/>
      <c r="I63" s="425"/>
      <c r="J63" s="425"/>
      <c r="K63" s="425"/>
      <c r="L63" s="425"/>
      <c r="M63" s="11"/>
      <c r="N63" s="6"/>
      <c r="O63" s="89"/>
      <c r="P63" s="98"/>
      <c r="Q63" s="98" t="s">
        <v>1200</v>
      </c>
      <c r="R63" s="134"/>
      <c r="S63" s="134"/>
      <c r="T63" s="1670"/>
      <c r="U63" s="89"/>
      <c r="V63" s="89"/>
    </row>
    <row r="64" spans="1:22" ht="15.75">
      <c r="A64" s="89"/>
      <c r="B64" s="1059"/>
      <c r="C64" s="940"/>
      <c r="D64" s="893" t="s">
        <v>666</v>
      </c>
      <c r="E64" s="425"/>
      <c r="F64" s="425"/>
      <c r="G64" s="425"/>
      <c r="H64" s="425"/>
      <c r="I64" s="425"/>
      <c r="J64" s="425"/>
      <c r="K64" s="425"/>
      <c r="L64" s="425"/>
      <c r="M64" s="11"/>
      <c r="N64" s="6"/>
      <c r="O64" s="89"/>
      <c r="P64" s="98"/>
      <c r="Q64" s="98"/>
      <c r="R64" s="134"/>
      <c r="S64" s="134"/>
      <c r="T64" s="1670"/>
      <c r="U64" s="89"/>
      <c r="V64" s="89"/>
    </row>
    <row r="65" spans="1:22" ht="15.75">
      <c r="A65" s="89"/>
      <c r="B65" s="1059"/>
      <c r="C65" s="940"/>
      <c r="D65" s="425"/>
      <c r="E65" s="425"/>
      <c r="F65" s="425"/>
      <c r="G65" s="425"/>
      <c r="H65" s="425"/>
      <c r="I65" s="425"/>
      <c r="J65" s="425"/>
      <c r="K65" s="425"/>
      <c r="L65" s="425"/>
      <c r="M65" s="11"/>
      <c r="N65" s="6"/>
      <c r="O65" s="89"/>
      <c r="P65" s="98"/>
      <c r="Q65" s="98"/>
      <c r="R65" s="134"/>
      <c r="S65" s="134"/>
      <c r="T65" s="1670"/>
      <c r="U65" s="89"/>
      <c r="V65" s="89"/>
    </row>
    <row r="66" spans="1:22" ht="18">
      <c r="A66" s="89"/>
      <c r="B66" s="1398" t="s">
        <v>1034</v>
      </c>
      <c r="C66" s="708">
        <v>12</v>
      </c>
      <c r="D66" s="425" t="s">
        <v>667</v>
      </c>
      <c r="E66" s="425"/>
      <c r="F66" s="425"/>
      <c r="G66" s="425"/>
      <c r="H66" s="425"/>
      <c r="I66" s="425"/>
      <c r="J66" s="425"/>
      <c r="K66" s="425"/>
      <c r="L66" s="425"/>
      <c r="M66" s="1800" t="str">
        <f>ROUND(L29,0)&amp;" g salt"</f>
        <v>17 g salt</v>
      </c>
      <c r="N66" s="6"/>
      <c r="O66" s="89"/>
      <c r="P66" s="98"/>
      <c r="Q66" s="98"/>
      <c r="R66" s="134"/>
      <c r="S66" s="134"/>
      <c r="T66" s="1670"/>
      <c r="U66" s="89"/>
      <c r="V66" s="89"/>
    </row>
    <row r="67" spans="1:22" ht="15.75">
      <c r="A67" s="89"/>
      <c r="B67" s="1059"/>
      <c r="C67" s="708"/>
      <c r="E67" s="425"/>
      <c r="F67" s="425"/>
      <c r="G67" s="425"/>
      <c r="H67" s="425"/>
      <c r="I67" s="425"/>
      <c r="J67" s="425"/>
      <c r="K67" s="425"/>
      <c r="L67" s="425"/>
      <c r="M67" s="11"/>
      <c r="N67" s="6"/>
      <c r="O67" s="89"/>
      <c r="P67" s="89"/>
      <c r="Q67" s="89"/>
      <c r="R67" s="174"/>
      <c r="S67" s="174"/>
      <c r="T67" s="177"/>
      <c r="U67" s="89"/>
      <c r="V67" s="89"/>
    </row>
    <row r="68" spans="1:22" ht="18">
      <c r="A68" s="89"/>
      <c r="B68" s="1398" t="s">
        <v>1034</v>
      </c>
      <c r="C68" s="708">
        <v>13</v>
      </c>
      <c r="D68" s="425" t="s">
        <v>975</v>
      </c>
      <c r="E68" s="425"/>
      <c r="F68" s="425"/>
      <c r="G68" s="425"/>
      <c r="H68" s="425"/>
      <c r="I68" s="425"/>
      <c r="J68" s="425"/>
      <c r="K68" s="425"/>
      <c r="L68" s="425"/>
      <c r="M68" s="1800" t="str">
        <f>ROUND(L32,0)&amp;" g olie"</f>
        <v>9 g olie</v>
      </c>
      <c r="N68" s="6"/>
      <c r="O68" s="89"/>
      <c r="P68" s="89"/>
      <c r="Q68" s="149"/>
      <c r="R68" s="349"/>
      <c r="S68" s="349"/>
      <c r="T68" s="1654"/>
      <c r="U68" s="138"/>
      <c r="V68" s="89"/>
    </row>
    <row r="69" spans="1:22" ht="15.75">
      <c r="A69" s="89"/>
      <c r="B69" s="1059"/>
      <c r="N69" s="6"/>
      <c r="O69" s="89"/>
      <c r="P69" s="89"/>
      <c r="Q69" s="1655" t="s">
        <v>362</v>
      </c>
      <c r="R69" s="134"/>
      <c r="S69" s="1653"/>
      <c r="T69" s="1656"/>
      <c r="U69" s="98"/>
      <c r="V69" s="89"/>
    </row>
    <row r="70" spans="1:22" ht="18">
      <c r="A70" s="89"/>
      <c r="B70" s="1398" t="s">
        <v>1034</v>
      </c>
      <c r="C70" s="708">
        <v>14</v>
      </c>
      <c r="D70" s="425" t="s">
        <v>976</v>
      </c>
      <c r="E70" s="425"/>
      <c r="F70" s="425"/>
      <c r="G70" s="425"/>
      <c r="H70" s="425"/>
      <c r="I70" s="425"/>
      <c r="J70" s="425"/>
      <c r="K70" s="425"/>
      <c r="L70" s="425"/>
      <c r="M70" s="11"/>
      <c r="N70" s="6"/>
      <c r="O70" s="89"/>
      <c r="P70" s="89"/>
      <c r="Q70" s="1657" t="s">
        <v>364</v>
      </c>
      <c r="R70" s="134"/>
      <c r="S70" s="134"/>
      <c r="T70" s="179"/>
      <c r="U70" s="98"/>
      <c r="V70" s="89"/>
    </row>
    <row r="71" spans="1:22" ht="15.75">
      <c r="A71" s="89"/>
      <c r="B71" s="1059"/>
      <c r="C71" s="708"/>
      <c r="D71" s="893" t="s">
        <v>977</v>
      </c>
      <c r="E71" s="425"/>
      <c r="F71" s="425"/>
      <c r="G71" s="425"/>
      <c r="H71" s="425"/>
      <c r="I71" s="425"/>
      <c r="J71" s="425"/>
      <c r="K71" s="425"/>
      <c r="L71" s="425"/>
      <c r="M71" s="11"/>
      <c r="N71" s="6"/>
      <c r="O71" s="89"/>
      <c r="P71" s="89"/>
      <c r="Q71" s="1657" t="s">
        <v>363</v>
      </c>
      <c r="R71" s="134"/>
      <c r="S71" s="134"/>
      <c r="T71" s="179"/>
      <c r="U71" s="98"/>
      <c r="V71" s="89"/>
    </row>
    <row r="72" spans="1:22" ht="15.75">
      <c r="A72" s="89"/>
      <c r="B72" s="1059"/>
      <c r="C72" s="902"/>
      <c r="D72" s="425"/>
      <c r="E72" s="425"/>
      <c r="F72" s="425"/>
      <c r="G72" s="425"/>
      <c r="H72" s="425"/>
      <c r="I72" s="425"/>
      <c r="J72" s="425"/>
      <c r="K72" s="425"/>
      <c r="L72" s="425"/>
      <c r="N72" s="6"/>
      <c r="O72" s="89"/>
      <c r="P72" s="89"/>
      <c r="Q72" s="1658" t="s">
        <v>365</v>
      </c>
      <c r="R72" s="134"/>
      <c r="S72" s="160"/>
      <c r="T72" s="179"/>
      <c r="U72" s="89"/>
      <c r="V72" s="89"/>
    </row>
    <row r="73" spans="1:22" ht="18">
      <c r="A73" s="89"/>
      <c r="B73" s="1398" t="s">
        <v>1034</v>
      </c>
      <c r="C73" s="708">
        <v>15</v>
      </c>
      <c r="D73" s="425" t="s">
        <v>974</v>
      </c>
      <c r="E73" s="425"/>
      <c r="F73" s="425"/>
      <c r="G73" s="425"/>
      <c r="H73" s="425"/>
      <c r="I73" s="425"/>
      <c r="J73" s="425"/>
      <c r="K73" s="425"/>
      <c r="L73" s="425"/>
      <c r="M73" s="11"/>
      <c r="N73" s="6"/>
      <c r="O73" s="89"/>
      <c r="P73" s="89"/>
      <c r="Q73" s="1657" t="s">
        <v>474</v>
      </c>
      <c r="R73" s="134"/>
      <c r="S73" s="98"/>
      <c r="T73" s="1659"/>
      <c r="U73" s="89"/>
      <c r="V73" s="89"/>
    </row>
    <row r="74" spans="1:22" ht="15.75">
      <c r="A74" s="89"/>
      <c r="B74" s="1059"/>
      <c r="C74" s="902"/>
      <c r="D74" s="425"/>
      <c r="E74" s="425"/>
      <c r="F74" s="425"/>
      <c r="G74" s="425"/>
      <c r="H74" s="425"/>
      <c r="I74" s="425"/>
      <c r="J74" s="425"/>
      <c r="K74" s="425"/>
      <c r="L74" s="425"/>
      <c r="M74" s="11"/>
      <c r="N74" s="6"/>
      <c r="O74" s="89"/>
      <c r="P74" s="89"/>
      <c r="Q74" s="1657" t="s">
        <v>366</v>
      </c>
      <c r="R74" s="134"/>
      <c r="S74" s="98"/>
      <c r="T74" s="1659"/>
      <c r="U74" s="89"/>
      <c r="V74" s="89"/>
    </row>
    <row r="75" spans="1:22" ht="18">
      <c r="A75" s="89"/>
      <c r="B75" s="1398" t="s">
        <v>1034</v>
      </c>
      <c r="C75" s="708">
        <v>16</v>
      </c>
      <c r="D75" s="425" t="str">
        <f>"Del dejen i "&amp;G8&amp;" klumper og stram dem op ved at folde oversiden ind i bunden af dejen."</f>
        <v>Del dejen i 6 klumper og stram dem op ved at folde oversiden ind i bunden af dejen.</v>
      </c>
      <c r="E75" s="425"/>
      <c r="F75" s="425"/>
      <c r="G75" s="425"/>
      <c r="H75" s="425"/>
      <c r="I75" s="425"/>
      <c r="J75" s="425"/>
      <c r="K75" s="425"/>
      <c r="L75" s="425"/>
      <c r="M75" s="11"/>
      <c r="N75" s="6"/>
      <c r="O75" s="89"/>
      <c r="P75" s="89"/>
      <c r="Q75" s="153"/>
      <c r="R75" s="174"/>
      <c r="S75" s="174"/>
      <c r="T75" s="1660"/>
      <c r="U75" s="89"/>
      <c r="V75" s="89"/>
    </row>
    <row r="76" spans="1:22" ht="15.75">
      <c r="A76" s="89"/>
      <c r="B76" s="1059"/>
      <c r="C76" s="902"/>
      <c r="D76" s="425"/>
      <c r="E76" s="425"/>
      <c r="F76" s="425"/>
      <c r="G76" s="425"/>
      <c r="H76" s="425"/>
      <c r="I76" s="425"/>
      <c r="J76" s="425"/>
      <c r="K76" s="425"/>
      <c r="L76" s="425"/>
      <c r="M76" s="11"/>
      <c r="N76" s="6"/>
      <c r="O76" s="89"/>
      <c r="P76" s="89"/>
      <c r="Q76" s="89"/>
      <c r="R76" s="134"/>
      <c r="S76" s="134"/>
      <c r="T76" s="93"/>
      <c r="U76" s="89"/>
      <c r="V76" s="89"/>
    </row>
    <row r="77" spans="1:22" ht="18">
      <c r="A77" s="89"/>
      <c r="B77" s="1398" t="s">
        <v>1034</v>
      </c>
      <c r="C77" s="708">
        <v>17</v>
      </c>
      <c r="D77" s="425" t="str">
        <f>IF(R8="","Placer bollerne i en lufttæt beholder og sæt dem på køl i 24-48 timer..","Placer bollerne i en lufttæt beholder og sæt dem på køl i ca. "&amp;TEXT(S19,"[t]:mm")&amp;" t:m.*")</f>
        <v>Placer bollerne i en lufttæt beholder og sæt dem på køl i ca. 22:30 t:m.*</v>
      </c>
      <c r="E77" s="425"/>
      <c r="F77" s="425"/>
      <c r="G77" s="425"/>
      <c r="H77" s="425"/>
      <c r="I77" s="425"/>
      <c r="J77" s="425"/>
      <c r="K77" s="425"/>
      <c r="L77" s="425"/>
      <c r="M77" s="11"/>
      <c r="N77" s="6"/>
      <c r="O77" s="89"/>
      <c r="P77" s="89"/>
      <c r="Q77" s="89"/>
      <c r="R77" s="89"/>
      <c r="S77" s="89"/>
      <c r="T77" s="89"/>
      <c r="U77" s="89"/>
      <c r="V77" s="89"/>
    </row>
    <row r="78" spans="1:22" ht="15.75">
      <c r="A78" s="89"/>
      <c r="B78" s="1059"/>
      <c r="K78" s="425"/>
      <c r="L78" s="425"/>
      <c r="M78" s="11"/>
      <c r="N78" s="6"/>
      <c r="O78" s="89"/>
      <c r="P78" s="89"/>
      <c r="Q78" s="89"/>
      <c r="R78" s="89"/>
      <c r="S78" s="89"/>
      <c r="T78" s="89"/>
      <c r="U78" s="89"/>
      <c r="V78" s="89"/>
    </row>
    <row r="79" spans="1:22" ht="15.75">
      <c r="A79" s="89"/>
      <c r="B79" s="1059"/>
      <c r="C79" s="902"/>
      <c r="D79" s="425"/>
      <c r="E79" s="425"/>
      <c r="F79" s="425"/>
      <c r="G79" s="425"/>
      <c r="H79" s="425"/>
      <c r="I79" s="425"/>
      <c r="J79" s="425"/>
      <c r="K79" s="425"/>
      <c r="L79" s="425"/>
      <c r="M79" s="11"/>
      <c r="N79" s="6"/>
      <c r="O79" s="89"/>
      <c r="P79" s="89"/>
      <c r="Q79" s="89"/>
      <c r="R79" s="89"/>
      <c r="S79" s="89"/>
      <c r="T79" s="89"/>
      <c r="U79" s="89"/>
      <c r="V79" s="89"/>
    </row>
    <row r="80" spans="1:22" ht="17.25">
      <c r="A80" s="89"/>
      <c r="B80" s="1471"/>
      <c r="C80" s="1477" t="str">
        <f ca="1">Q30</f>
        <v>Dag 3</v>
      </c>
      <c r="D80" s="1037"/>
      <c r="E80" s="1037"/>
      <c r="F80" s="1037"/>
      <c r="G80" s="1037"/>
      <c r="H80" s="1037"/>
      <c r="I80" s="1037"/>
      <c r="J80" s="1037"/>
      <c r="K80" s="1037"/>
      <c r="L80" s="1797" t="str">
        <f ca="1">TEXT(R30,"dddd")</f>
        <v>fredag</v>
      </c>
      <c r="M80" s="1799">
        <f ca="1">IF($R$8="","",R30)</f>
        <v>45926.604166666664</v>
      </c>
      <c r="N80" s="6"/>
      <c r="O80" s="89"/>
      <c r="P80" s="89"/>
      <c r="Q80" s="89"/>
      <c r="R80" s="89"/>
      <c r="S80" s="89"/>
      <c r="T80" s="89"/>
      <c r="U80" s="89"/>
      <c r="V80" s="89"/>
    </row>
    <row r="81" spans="1:22" ht="15.75">
      <c r="A81" s="89"/>
      <c r="B81" s="1059"/>
      <c r="C81" s="902"/>
      <c r="D81" s="425"/>
      <c r="E81" s="425"/>
      <c r="F81" s="425"/>
      <c r="G81" s="425"/>
      <c r="H81" s="425"/>
      <c r="I81" s="425"/>
      <c r="J81" s="425"/>
      <c r="K81" s="425"/>
      <c r="L81" s="425"/>
      <c r="M81" s="11"/>
      <c r="N81" s="6"/>
      <c r="O81" s="89"/>
      <c r="P81" s="89"/>
      <c r="Q81" s="89"/>
      <c r="R81" s="89"/>
      <c r="S81" s="89"/>
      <c r="T81" s="89"/>
      <c r="U81" s="89"/>
      <c r="V81" s="89"/>
    </row>
    <row r="82" spans="1:22" ht="18">
      <c r="A82" s="89"/>
      <c r="B82" s="1398" t="s">
        <v>1034</v>
      </c>
      <c r="C82" s="708">
        <v>18</v>
      </c>
      <c r="D82" s="425" t="s">
        <v>973</v>
      </c>
      <c r="E82" s="425"/>
      <c r="F82" s="425"/>
      <c r="G82" s="425"/>
      <c r="H82" s="425"/>
      <c r="I82" s="425"/>
      <c r="J82" s="425"/>
      <c r="K82" s="425"/>
      <c r="L82" s="425"/>
      <c r="M82" s="11"/>
      <c r="N82" s="6"/>
      <c r="O82" s="89"/>
      <c r="P82" s="89"/>
      <c r="Q82" s="89"/>
      <c r="R82" s="89"/>
      <c r="S82" s="89"/>
      <c r="T82" s="89"/>
      <c r="U82" s="89"/>
      <c r="V82" s="89"/>
    </row>
    <row r="83" spans="1:22" ht="15.75">
      <c r="A83" s="89"/>
      <c r="B83" s="1059"/>
      <c r="C83" s="708"/>
      <c r="D83" s="425"/>
      <c r="E83" s="425"/>
      <c r="F83" s="425"/>
      <c r="G83" s="425"/>
      <c r="H83" s="425"/>
      <c r="I83" s="425"/>
      <c r="J83" s="425"/>
      <c r="K83" s="425"/>
      <c r="L83" s="425"/>
      <c r="M83" s="11"/>
      <c r="N83" s="6"/>
      <c r="O83" s="89"/>
      <c r="P83" s="89"/>
      <c r="Q83" s="89"/>
      <c r="R83" s="89"/>
      <c r="S83" s="89"/>
      <c r="T83" s="89"/>
      <c r="U83" s="89"/>
      <c r="V83" s="89"/>
    </row>
    <row r="84" spans="1:22" ht="15.75">
      <c r="A84" s="89"/>
      <c r="B84" s="1059"/>
      <c r="C84" s="708"/>
      <c r="D84" s="425"/>
      <c r="E84" s="425"/>
      <c r="F84" s="425"/>
      <c r="G84" s="425"/>
      <c r="H84" s="425"/>
      <c r="I84" s="425"/>
      <c r="J84" s="425"/>
      <c r="K84" s="425"/>
      <c r="L84" s="425"/>
      <c r="M84" s="11"/>
      <c r="N84" s="6"/>
      <c r="O84" s="89"/>
      <c r="P84" s="89"/>
      <c r="Q84" s="89"/>
      <c r="R84" s="89"/>
      <c r="S84" s="89"/>
      <c r="T84" s="89"/>
      <c r="U84" s="89"/>
      <c r="V84" s="89"/>
    </row>
    <row r="85" spans="1:22">
      <c r="A85" s="89"/>
      <c r="B85" s="2"/>
      <c r="C85" s="3"/>
      <c r="D85" s="3"/>
      <c r="E85" s="3"/>
      <c r="F85" s="3"/>
      <c r="G85" s="3"/>
      <c r="H85" s="3"/>
      <c r="I85" s="3"/>
      <c r="J85" s="3"/>
      <c r="K85" s="3"/>
      <c r="L85" s="3"/>
      <c r="M85" s="1351" t="s">
        <v>523</v>
      </c>
      <c r="N85" s="1352"/>
      <c r="O85" s="89"/>
      <c r="P85" s="89"/>
      <c r="Q85" s="89"/>
      <c r="R85" s="89"/>
      <c r="S85" s="89"/>
      <c r="T85" s="89"/>
      <c r="U85" s="89"/>
      <c r="V85" s="89"/>
    </row>
    <row r="86" spans="1:22">
      <c r="A86" s="89"/>
      <c r="B86" s="89"/>
      <c r="C86" s="89"/>
      <c r="D86" s="89"/>
      <c r="E86" s="89"/>
      <c r="F86" s="89"/>
      <c r="G86" s="89"/>
      <c r="H86" s="89"/>
      <c r="I86" s="89"/>
      <c r="J86" s="89"/>
      <c r="K86" s="89"/>
      <c r="L86" s="89"/>
      <c r="M86" s="90"/>
      <c r="N86" s="89"/>
      <c r="O86" s="89"/>
      <c r="P86" s="89"/>
      <c r="Q86" s="89"/>
      <c r="R86" s="89"/>
      <c r="S86" s="89"/>
      <c r="T86" s="89"/>
      <c r="U86" s="89"/>
      <c r="V86" s="89"/>
    </row>
  </sheetData>
  <sheetProtection algorithmName="SHA-512" hashValue="4Ntjs4tl0fUFc7EO309r5uJ5kbwikEVFkbIDnVIlyBiFBZSdy8lX9POn0+ETtYQuvhiiQnMbNzZq+Av5R+sOog==" saltValue="rZVtxEYm9PlqSACR6sMSqA==" spinCount="100000" sheet="1" objects="1" scenarios="1" selectLockedCells="1"/>
  <dataConsolidate/>
  <mergeCells count="26">
    <mergeCell ref="D2:O3"/>
    <mergeCell ref="N14:O14"/>
    <mergeCell ref="N12:O12"/>
    <mergeCell ref="N11:O11"/>
    <mergeCell ref="H5:I5"/>
    <mergeCell ref="N8:O8"/>
    <mergeCell ref="N9:O9"/>
    <mergeCell ref="N10:O10"/>
    <mergeCell ref="N13:O13"/>
    <mergeCell ref="AE6:AH6"/>
    <mergeCell ref="AB6:AC6"/>
    <mergeCell ref="L6:M7"/>
    <mergeCell ref="C18:J19"/>
    <mergeCell ref="H23:M23"/>
    <mergeCell ref="H10:H11"/>
    <mergeCell ref="F10:F11"/>
    <mergeCell ref="G10:G11"/>
    <mergeCell ref="H22:M22"/>
    <mergeCell ref="R30:T30"/>
    <mergeCell ref="R28:T28"/>
    <mergeCell ref="R29:T29"/>
    <mergeCell ref="P5:U6"/>
    <mergeCell ref="S7:U7"/>
    <mergeCell ref="S8:U8"/>
    <mergeCell ref="T11:U11"/>
    <mergeCell ref="T15:U15"/>
  </mergeCells>
  <dataValidations count="7">
    <dataValidation allowBlank="1" sqref="L12:M12 B13:B15 I16 B16:F16 L9:M9" xr:uid="{FF9A9A16-E513-47BE-AFB8-0957764F6857}"/>
    <dataValidation allowBlank="1" showInputMessage="1" promptTitle="Forslag" prompt="Ca. 4% tørret surdej._x000a_F.eks. Grand Farine Levain eller Caputo Criscito._x000a_" sqref="L12" xr:uid="{6ABA0E91-93FE-44BC-A15A-FBED779E8551}"/>
    <dataValidation type="list" allowBlank="1" showInputMessage="1" showErrorMessage="1" sqref="G13" xr:uid="{9585F086-B873-49FA-AD34-5B85C32E842A}">
      <formula1>"tiga,poolish"</formula1>
    </dataValidation>
    <dataValidation allowBlank="1" promptTitle="Forslag" prompt="Ca. 4% tørret surdej._x000a_F.eks. Grand Farine Levain eller Caputo Criscito._x000a_" sqref="L9" xr:uid="{B1B12DB3-FDF0-4D4C-887C-4F4F222A6624}"/>
    <dataValidation type="list" allowBlank="1" sqref="R8" xr:uid="{75735D14-5898-40CA-91D2-A73C46CF025C}">
      <formula1>"11:30,12:00,12:30,13:00,17:00,17:30,18:00,18:30,19:00,19:30"</formula1>
    </dataValidation>
    <dataValidation type="list" allowBlank="1" sqref="M10" xr:uid="{95610D89-3BD1-49E4-97C5-1A7532D1C2DB}">
      <formula1>$X$21:$X$23</formula1>
    </dataValidation>
    <dataValidation type="list" allowBlank="1" showErrorMessage="1" sqref="R7" xr:uid="{FA9DB427-FCF2-4061-ADF9-E5388D701DAE}">
      <formula1>"Mandag,Tirsdag,Onsdag,Torsdag,Fredag,Lørdag,Søndag"</formula1>
    </dataValidation>
  </dataValidations>
  <hyperlinks>
    <hyperlink ref="E28" r:id="rId1" xr:uid="{7CB7779E-92D0-4292-8D4D-339CF59170CC}"/>
  </hyperlinks>
  <pageMargins left="0.23622047244094491" right="0.23622047244094491" top="0.23622047244094491" bottom="0.23622047244094491" header="0.31496062992125984" footer="0.31496062992125984"/>
  <pageSetup paperSize="9" scale="72"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2CC53-92D6-4BEC-97CF-0CD3FFF50898}">
  <sheetPr codeName="Ark19">
    <tabColor rgb="FFFFFFCC"/>
    <pageSetUpPr fitToPage="1"/>
  </sheetPr>
  <dimension ref="A1:AC65"/>
  <sheetViews>
    <sheetView showGridLines="0" showRowColHeaders="0" zoomScaleNormal="100" workbookViewId="0">
      <pane ySplit="4" topLeftCell="A5" activePane="bottomLeft" state="frozen"/>
      <selection activeCell="C2" sqref="C2:I3"/>
      <selection pane="bottomLeft" activeCell="F8" sqref="F8"/>
    </sheetView>
  </sheetViews>
  <sheetFormatPr defaultColWidth="0" defaultRowHeight="0" customHeight="1" zeroHeight="1"/>
  <cols>
    <col min="1" max="1" width="3.5703125" customWidth="1"/>
    <col min="2" max="3" width="7.140625" customWidth="1"/>
    <col min="4" max="4" width="12" customWidth="1"/>
    <col min="5" max="5" width="9.5703125" customWidth="1"/>
    <col min="6" max="6" width="6.85546875" customWidth="1"/>
    <col min="7" max="7" width="3.140625" customWidth="1"/>
    <col min="8" max="8" width="7.140625" customWidth="1"/>
    <col min="9" max="9" width="8.28515625" customWidth="1"/>
    <col min="10" max="10" width="6" customWidth="1"/>
    <col min="11" max="11" width="13.28515625" customWidth="1"/>
    <col min="12" max="12" width="11.42578125" customWidth="1"/>
    <col min="13" max="13" width="15.5703125" customWidth="1"/>
    <col min="14" max="14" width="6.140625" customWidth="1"/>
    <col min="15" max="16" width="3.140625" customWidth="1"/>
    <col min="17" max="17" width="3" customWidth="1"/>
    <col min="18" max="18" width="8" customWidth="1"/>
    <col min="19" max="19" width="19.85546875" customWidth="1"/>
    <col min="20" max="20" width="8.140625" customWidth="1"/>
    <col min="21" max="21" width="8" customWidth="1"/>
    <col min="22" max="22" width="3.5703125" customWidth="1"/>
    <col min="23" max="23" width="8.7109375" hidden="1" customWidth="1"/>
    <col min="24" max="24" width="11" hidden="1" customWidth="1"/>
    <col min="25" max="25" width="15.7109375" hidden="1" customWidth="1"/>
    <col min="26" max="26" width="8.7109375" hidden="1" customWidth="1"/>
    <col min="27" max="27" width="14.85546875" hidden="1" customWidth="1"/>
    <col min="28" max="28" width="10.42578125" hidden="1" customWidth="1"/>
    <col min="29" max="16384" width="8.7109375" hidden="1"/>
  </cols>
  <sheetData>
    <row r="1" spans="1:29" ht="15" customHeight="1">
      <c r="A1" s="217"/>
      <c r="B1" s="217"/>
      <c r="C1" s="218"/>
      <c r="D1" s="218"/>
      <c r="E1" s="218"/>
      <c r="F1" s="218"/>
      <c r="G1" s="218"/>
      <c r="H1" s="218"/>
      <c r="I1" s="218"/>
      <c r="J1" s="218"/>
      <c r="K1" s="218"/>
      <c r="L1" s="218"/>
      <c r="M1" s="217"/>
      <c r="N1" s="826"/>
      <c r="O1" s="826"/>
      <c r="P1" s="826"/>
      <c r="Q1" s="826"/>
      <c r="R1" s="826"/>
      <c r="S1" s="826"/>
      <c r="T1" s="826"/>
      <c r="U1" s="217"/>
      <c r="V1" s="217"/>
    </row>
    <row r="2" spans="1:29" ht="15" customHeight="1">
      <c r="A2" s="217"/>
      <c r="B2" s="217"/>
      <c r="C2" s="1909" t="s">
        <v>711</v>
      </c>
      <c r="D2" s="1909"/>
      <c r="E2" s="1909"/>
      <c r="F2" s="1909"/>
      <c r="G2" s="1909"/>
      <c r="H2" s="1909"/>
      <c r="I2" s="1909"/>
      <c r="J2" s="1909"/>
      <c r="K2" s="801"/>
      <c r="L2" s="801"/>
      <c r="M2" s="269"/>
      <c r="N2" s="826"/>
      <c r="O2" s="826"/>
      <c r="P2" s="826"/>
      <c r="Q2" s="826"/>
      <c r="R2" s="826"/>
      <c r="S2" s="826"/>
      <c r="T2" s="826"/>
      <c r="U2" s="217"/>
      <c r="V2" s="217"/>
    </row>
    <row r="3" spans="1:29" ht="15" customHeight="1">
      <c r="A3" s="217"/>
      <c r="B3" s="217"/>
      <c r="C3" s="1909"/>
      <c r="D3" s="1909"/>
      <c r="E3" s="1909"/>
      <c r="F3" s="1909"/>
      <c r="G3" s="1909"/>
      <c r="H3" s="1909"/>
      <c r="I3" s="1909"/>
      <c r="J3" s="1909"/>
      <c r="K3" s="801"/>
      <c r="L3" s="801"/>
      <c r="M3" s="801"/>
      <c r="N3" s="826"/>
      <c r="O3" s="826"/>
      <c r="P3" s="826"/>
      <c r="Q3" s="826"/>
      <c r="R3" s="826"/>
      <c r="S3" s="826"/>
      <c r="T3" s="826"/>
      <c r="U3" s="217"/>
      <c r="V3" s="217"/>
    </row>
    <row r="4" spans="1:29" ht="15" customHeight="1" thickBot="1">
      <c r="A4" s="253"/>
      <c r="B4" s="253"/>
      <c r="C4" s="346" t="s">
        <v>731</v>
      </c>
      <c r="D4" s="254"/>
      <c r="E4" s="254"/>
      <c r="F4" s="254"/>
      <c r="G4" s="254"/>
      <c r="H4" s="254"/>
      <c r="I4" s="254"/>
      <c r="J4" s="254"/>
      <c r="K4" s="254"/>
      <c r="L4" s="254"/>
      <c r="M4" s="253"/>
      <c r="N4" s="827"/>
      <c r="O4" s="827"/>
      <c r="P4" s="827"/>
      <c r="Q4" s="827"/>
      <c r="R4" s="827"/>
      <c r="S4" s="827"/>
      <c r="T4" s="827"/>
      <c r="U4" s="253"/>
      <c r="V4" s="253"/>
    </row>
    <row r="5" spans="1:29" ht="16.5" customHeight="1" thickTop="1">
      <c r="A5" s="104"/>
      <c r="B5" s="104"/>
      <c r="C5" s="104"/>
      <c r="D5" s="104"/>
      <c r="E5" s="104"/>
      <c r="F5" s="89"/>
      <c r="G5" s="89"/>
      <c r="H5" s="89"/>
      <c r="I5" s="104"/>
      <c r="J5" s="104"/>
      <c r="K5" s="104"/>
      <c r="L5" s="104"/>
      <c r="M5" s="104"/>
      <c r="N5" s="104"/>
      <c r="O5" s="104"/>
      <c r="P5" s="1615"/>
      <c r="Q5" s="1923" t="s">
        <v>1075</v>
      </c>
      <c r="R5" s="1923"/>
      <c r="S5" s="1923"/>
      <c r="T5" s="1923"/>
      <c r="U5" s="1923"/>
      <c r="V5" s="1923"/>
    </row>
    <row r="6" spans="1:29" ht="8.25" customHeight="1" thickBot="1">
      <c r="A6" s="104"/>
      <c r="B6" s="104"/>
      <c r="C6" s="106"/>
      <c r="D6" s="106"/>
      <c r="E6" s="104"/>
      <c r="F6" s="89"/>
      <c r="G6" s="89"/>
      <c r="H6" s="89"/>
      <c r="I6" s="104"/>
      <c r="J6" s="104"/>
      <c r="K6" s="104"/>
      <c r="L6" s="104"/>
      <c r="M6" s="104"/>
      <c r="N6" s="104"/>
      <c r="O6" s="104"/>
      <c r="P6" s="203"/>
      <c r="Q6" s="1924"/>
      <c r="R6" s="1924"/>
      <c r="S6" s="1924"/>
      <c r="T6" s="1924"/>
      <c r="U6" s="1924"/>
      <c r="V6" s="1924"/>
    </row>
    <row r="7" spans="1:29" ht="15.75">
      <c r="A7" s="104"/>
      <c r="B7" s="166" t="s">
        <v>714</v>
      </c>
      <c r="C7" s="163"/>
      <c r="D7" s="196"/>
      <c r="E7" s="89"/>
      <c r="F7" s="89"/>
      <c r="G7" s="89"/>
      <c r="H7" s="89"/>
      <c r="I7" s="1956" t="s">
        <v>745</v>
      </c>
      <c r="J7" s="1956"/>
      <c r="K7" s="1956"/>
      <c r="L7" s="476"/>
      <c r="M7" s="104"/>
      <c r="N7" s="104"/>
      <c r="O7" s="104"/>
      <c r="P7" s="203"/>
      <c r="Q7" s="89"/>
      <c r="R7" s="110" t="s">
        <v>1289</v>
      </c>
      <c r="S7" s="1806" t="s">
        <v>1290</v>
      </c>
      <c r="T7" s="1925"/>
      <c r="U7" s="1925"/>
      <c r="V7" s="1925"/>
      <c r="X7" s="915" t="s">
        <v>418</v>
      </c>
      <c r="Y7" s="916"/>
      <c r="AA7" s="43" t="s">
        <v>299</v>
      </c>
      <c r="AB7" s="53" t="s">
        <v>809</v>
      </c>
      <c r="AC7" s="911" t="s">
        <v>756</v>
      </c>
    </row>
    <row r="8" spans="1:29" ht="15.75">
      <c r="A8" s="104"/>
      <c r="B8" s="197">
        <v>1</v>
      </c>
      <c r="C8" s="162" t="s">
        <v>713</v>
      </c>
      <c r="D8" s="200"/>
      <c r="E8" s="113" t="s">
        <v>372</v>
      </c>
      <c r="F8" s="337">
        <v>4</v>
      </c>
      <c r="G8" s="273" t="s">
        <v>386</v>
      </c>
      <c r="H8" s="89"/>
      <c r="I8" s="1956"/>
      <c r="J8" s="1956"/>
      <c r="K8" s="1956"/>
      <c r="L8" s="1619"/>
      <c r="M8" s="104"/>
      <c r="N8" s="104"/>
      <c r="O8" s="104"/>
      <c r="P8" s="203"/>
      <c r="Q8" s="89"/>
      <c r="R8" s="110" t="s">
        <v>1060</v>
      </c>
      <c r="S8" s="1621">
        <v>0.72916666666666663</v>
      </c>
      <c r="T8" s="1926" t="s">
        <v>644</v>
      </c>
      <c r="U8" s="1926"/>
      <c r="V8" s="1926"/>
      <c r="X8" s="917">
        <v>1</v>
      </c>
      <c r="Y8" s="918" t="str">
        <f>C8</f>
        <v>tipo 0 eller 00</v>
      </c>
      <c r="AA8" s="44" t="s">
        <v>376</v>
      </c>
      <c r="AB8" s="45" t="s">
        <v>376</v>
      </c>
      <c r="AC8" s="912">
        <v>1</v>
      </c>
    </row>
    <row r="9" spans="1:29" ht="16.5" thickBot="1">
      <c r="A9" s="104"/>
      <c r="B9" s="197">
        <v>0.700497512437811</v>
      </c>
      <c r="C9" s="162" t="s">
        <v>1026</v>
      </c>
      <c r="D9" s="200"/>
      <c r="E9" s="113" t="s">
        <v>373</v>
      </c>
      <c r="F9" s="770">
        <v>270</v>
      </c>
      <c r="G9" s="568" t="s">
        <v>369</v>
      </c>
      <c r="H9" s="89"/>
      <c r="I9" s="334"/>
      <c r="J9" s="206" t="str">
        <f>C9</f>
        <v>hydrering</v>
      </c>
      <c r="K9" s="104"/>
      <c r="L9" s="104"/>
      <c r="M9" s="104"/>
      <c r="N9" s="104"/>
      <c r="O9" s="104"/>
      <c r="P9" s="203"/>
      <c r="Q9" s="89"/>
      <c r="R9" s="104"/>
      <c r="S9" s="1811">
        <f ca="1">TODAY()+MOD(MATCH(S7,{"Mandag";"Tirsdag";"Onsdag";"Torsdag";"Fredag";"Lørdag";"Søndag"},0)-WEEKDAY(TODAY(),2)+7,7)</f>
        <v>45926</v>
      </c>
      <c r="T9" s="1611"/>
      <c r="U9" s="207"/>
      <c r="V9" s="103"/>
      <c r="X9" s="917">
        <f>IF(I9="",B9,I9)</f>
        <v>0.700497512437811</v>
      </c>
      <c r="Y9" s="918" t="str">
        <f>C9</f>
        <v>hydrering</v>
      </c>
      <c r="AA9" s="44" t="s">
        <v>807</v>
      </c>
      <c r="AB9" s="45" t="s">
        <v>385</v>
      </c>
      <c r="AC9" s="913">
        <v>4</v>
      </c>
    </row>
    <row r="10" spans="1:29" ht="16.5" thickTop="1">
      <c r="A10" s="104"/>
      <c r="B10" s="201">
        <v>2.9850746268656716E-2</v>
      </c>
      <c r="C10" s="162" t="s">
        <v>375</v>
      </c>
      <c r="D10" s="200"/>
      <c r="E10" s="112"/>
      <c r="F10" s="109"/>
      <c r="G10" s="568"/>
      <c r="H10" s="89"/>
      <c r="I10" s="334"/>
      <c r="J10" s="206" t="str">
        <f>C10</f>
        <v>salt</v>
      </c>
      <c r="K10" s="104"/>
      <c r="L10" s="104"/>
      <c r="M10" s="1953"/>
      <c r="N10" s="1953"/>
      <c r="O10" s="1953"/>
      <c r="P10" s="203"/>
      <c r="Q10" s="89"/>
      <c r="R10" s="104"/>
      <c r="S10" s="103"/>
      <c r="T10" s="1611"/>
      <c r="U10" s="207"/>
      <c r="V10" s="103"/>
      <c r="X10" s="917">
        <f>IF(I10="",B10,I10)</f>
        <v>2.9850746268656716E-2</v>
      </c>
      <c r="Y10" s="918" t="str">
        <f>C10</f>
        <v>salt</v>
      </c>
      <c r="AA10" s="44" t="s">
        <v>806</v>
      </c>
      <c r="AB10" s="45" t="s">
        <v>385</v>
      </c>
      <c r="AC10" s="913">
        <v>3</v>
      </c>
    </row>
    <row r="11" spans="1:29" ht="16.5" thickBot="1">
      <c r="A11" s="104"/>
      <c r="B11" s="773">
        <v>5.9701492537313433E-4</v>
      </c>
      <c r="C11" s="165" t="s">
        <v>376</v>
      </c>
      <c r="D11" s="202"/>
      <c r="E11" s="825" t="s">
        <v>382</v>
      </c>
      <c r="F11" s="771">
        <f>F8*F9</f>
        <v>1080</v>
      </c>
      <c r="G11" s="571" t="s">
        <v>369</v>
      </c>
      <c r="H11" s="89"/>
      <c r="I11" s="1760"/>
      <c r="J11" s="1952" t="s">
        <v>376</v>
      </c>
      <c r="K11" s="1952"/>
      <c r="L11" s="1741">
        <f>IF(J11&lt;&gt;"frisk gær",X11,IF(I11="",B11,""))</f>
        <v>5.9701492537313433E-4</v>
      </c>
      <c r="M11" s="118" t="str">
        <f ca="1">IF(M9="","","Pizza om "&amp;_xlfn.DAYS(M9,TODAY())&amp;" dage...")</f>
        <v/>
      </c>
      <c r="N11" s="118"/>
      <c r="O11" s="118"/>
      <c r="P11" s="203"/>
      <c r="Q11" s="89"/>
      <c r="R11" s="1607" t="s">
        <v>1089</v>
      </c>
      <c r="S11" s="1608"/>
      <c r="T11" s="1613">
        <v>1.0416666666666666E-2</v>
      </c>
      <c r="U11" s="1927" t="s">
        <v>644</v>
      </c>
      <c r="V11" s="1927"/>
      <c r="X11" s="919">
        <f>IF(J11="frisk gær",IF(I11="",B11,I11),IF(I11="",B11,I11)/AC12)</f>
        <v>5.9701492537313433E-4</v>
      </c>
      <c r="Y11" s="920" t="str">
        <f>AB12</f>
        <v>frisk gær</v>
      </c>
      <c r="Z11" s="425"/>
      <c r="AA11" s="44" t="s">
        <v>805</v>
      </c>
      <c r="AB11" s="45" t="s">
        <v>808</v>
      </c>
      <c r="AC11" s="914">
        <v>3</v>
      </c>
    </row>
    <row r="12" spans="1:29" ht="15.75">
      <c r="A12" s="104"/>
      <c r="B12" s="772"/>
      <c r="C12" s="162"/>
      <c r="D12" s="162"/>
      <c r="E12" s="89"/>
      <c r="F12" s="475"/>
      <c r="G12" s="112"/>
      <c r="H12" s="89"/>
      <c r="I12" s="207"/>
      <c r="J12" s="568"/>
      <c r="K12" s="89"/>
      <c r="L12" s="89"/>
      <c r="M12" s="89"/>
      <c r="N12" s="104"/>
      <c r="O12" s="104"/>
      <c r="P12" s="203"/>
      <c r="Q12" s="89"/>
      <c r="R12" s="110" t="s">
        <v>1086</v>
      </c>
      <c r="S12" s="1609"/>
      <c r="T12" s="1612">
        <v>2.0833333333333332E-2</v>
      </c>
      <c r="U12" s="1031" t="s">
        <v>644</v>
      </c>
      <c r="V12" s="1031"/>
      <c r="Z12" s="436"/>
      <c r="AA12" s="909" t="s">
        <v>764</v>
      </c>
      <c r="AB12" s="910" t="str">
        <f>VLOOKUP(J11,AA8:AB11,2,FALSE)</f>
        <v>frisk gær</v>
      </c>
      <c r="AC12" s="921">
        <f>VLOOKUP(J11,AA8:AC11,3,FALSE)</f>
        <v>1</v>
      </c>
    </row>
    <row r="13" spans="1:29" ht="15.75" customHeight="1">
      <c r="A13" s="89"/>
      <c r="B13" s="1480"/>
      <c r="C13" s="1954" t="str">
        <f>C2</f>
        <v>Sebastians 24 timers dej</v>
      </c>
      <c r="D13" s="1954"/>
      <c r="E13" s="1954"/>
      <c r="F13" s="1954"/>
      <c r="G13" s="1954"/>
      <c r="H13" s="1954"/>
      <c r="I13" s="1954"/>
      <c r="J13" s="1954"/>
      <c r="K13" s="757"/>
      <c r="L13" s="9"/>
      <c r="M13" s="9"/>
      <c r="N13" s="9"/>
      <c r="O13" s="10"/>
      <c r="P13" s="178"/>
      <c r="Q13" s="89"/>
      <c r="R13" s="475" t="s">
        <v>1087</v>
      </c>
      <c r="S13" s="1610"/>
      <c r="T13" s="1580">
        <v>0.66666666666666663</v>
      </c>
      <c r="U13" s="1031" t="s">
        <v>644</v>
      </c>
      <c r="V13" s="1031"/>
      <c r="X13" s="526"/>
      <c r="Y13" s="523"/>
    </row>
    <row r="14" spans="1:29" ht="15.75" customHeight="1">
      <c r="A14" s="89"/>
      <c r="B14" s="1481"/>
      <c r="C14" s="1887"/>
      <c r="D14" s="1887"/>
      <c r="E14" s="1887"/>
      <c r="F14" s="1887"/>
      <c r="G14" s="1887"/>
      <c r="H14" s="1887"/>
      <c r="I14" s="1887"/>
      <c r="J14" s="1887"/>
      <c r="O14" s="758"/>
      <c r="P14" s="178"/>
      <c r="Q14" s="89"/>
      <c r="R14" s="475"/>
      <c r="S14" s="1609"/>
      <c r="T14" s="1609"/>
      <c r="U14" s="1031"/>
      <c r="V14" s="1031"/>
      <c r="X14" s="329"/>
    </row>
    <row r="15" spans="1:29" ht="15.75" customHeight="1">
      <c r="A15" s="89"/>
      <c r="B15" s="1481"/>
      <c r="C15" s="1887"/>
      <c r="D15" s="1887"/>
      <c r="E15" s="1887"/>
      <c r="F15" s="1887"/>
      <c r="G15" s="1887"/>
      <c r="H15" s="1887"/>
      <c r="I15" s="1887"/>
      <c r="J15" s="1887"/>
      <c r="O15" s="758"/>
      <c r="P15" s="178"/>
      <c r="Q15" s="89"/>
      <c r="R15" s="1607" t="str">
        <f ca="1">R21&amp;"  - Tilberedning"</f>
        <v>Dag 2  - Tilberedning</v>
      </c>
      <c r="S15" s="1608"/>
      <c r="T15" s="1620">
        <v>3.472222222222222E-3</v>
      </c>
      <c r="U15" s="1927" t="s">
        <v>644</v>
      </c>
      <c r="V15" s="1927"/>
    </row>
    <row r="16" spans="1:29" ht="15.75">
      <c r="A16" s="89"/>
      <c r="B16" s="7"/>
      <c r="C16" s="1482" t="s">
        <v>816</v>
      </c>
      <c r="D16" s="851" t="s">
        <v>755</v>
      </c>
      <c r="E16" s="5"/>
      <c r="L16" s="1919" t="s">
        <v>1055</v>
      </c>
      <c r="M16" s="1920"/>
      <c r="N16" s="1921"/>
      <c r="O16" s="758"/>
      <c r="P16" s="178"/>
      <c r="Q16" s="89"/>
      <c r="R16" s="475" t="s">
        <v>1088</v>
      </c>
      <c r="S16" s="104"/>
      <c r="T16" s="1579">
        <v>0.33333333333333331</v>
      </c>
      <c r="U16" s="1031" t="s">
        <v>644</v>
      </c>
      <c r="V16" s="1600"/>
    </row>
    <row r="17" spans="1:22" ht="15">
      <c r="A17" s="89"/>
      <c r="B17" s="7"/>
      <c r="C17" s="1483" t="s">
        <v>746</v>
      </c>
      <c r="D17" t="s">
        <v>770</v>
      </c>
      <c r="E17" s="5"/>
      <c r="L17" s="1916" t="str">
        <f>F8&amp;" pizzaer a "&amp;ROUND(F9,0)&amp;" g. -  "&amp;ROUND(X9*100,0)&amp;"% hydrering"</f>
        <v>4 pizzaer a 270 g. -  70% hydrering</v>
      </c>
      <c r="M17" s="1917"/>
      <c r="N17" s="1918"/>
      <c r="O17" s="758"/>
      <c r="P17" s="178"/>
      <c r="Q17" s="89"/>
      <c r="R17" s="89"/>
      <c r="S17" s="89"/>
      <c r="T17" s="89"/>
      <c r="U17" s="89"/>
      <c r="V17" s="89"/>
    </row>
    <row r="18" spans="1:22" ht="16.5" thickBot="1">
      <c r="A18" s="89"/>
      <c r="B18" s="7"/>
      <c r="C18" s="938"/>
      <c r="D18" s="1484" t="s">
        <v>769</v>
      </c>
      <c r="E18" s="823"/>
      <c r="F18" s="1484"/>
      <c r="G18" s="1484"/>
      <c r="H18" s="1484"/>
      <c r="I18" s="1484"/>
      <c r="J18" s="1484"/>
      <c r="L18" s="1374">
        <f>$F$11*(X9/SUM($X$8:$X$13))</f>
        <v>437.06599218211079</v>
      </c>
      <c r="M18" s="248" t="s">
        <v>771</v>
      </c>
      <c r="N18" s="1742">
        <f>X9</f>
        <v>0.700497512437811</v>
      </c>
      <c r="O18" s="758"/>
      <c r="P18" s="178"/>
      <c r="Q18" s="89"/>
      <c r="R18" s="1601" t="s">
        <v>1073</v>
      </c>
      <c r="S18" s="1602"/>
      <c r="T18" s="1603">
        <f>SUM(T11:T16)</f>
        <v>1.0347222222222221</v>
      </c>
      <c r="U18" s="1604" t="s">
        <v>644</v>
      </c>
      <c r="V18" s="89"/>
    </row>
    <row r="19" spans="1:22" ht="15.75" customHeight="1">
      <c r="A19" s="89"/>
      <c r="B19" s="7"/>
      <c r="C19" s="1483" t="s">
        <v>746</v>
      </c>
      <c r="D19" s="5" t="s">
        <v>1160</v>
      </c>
      <c r="L19" s="1493">
        <f>$F$11*(X11/SUM($X$8:$X$13))</f>
        <v>0.37249942515520806</v>
      </c>
      <c r="M19" s="248" t="str">
        <f>"g "&amp;AB12</f>
        <v>g frisk gær</v>
      </c>
      <c r="N19" s="1743">
        <f>X11</f>
        <v>5.9701492537313433E-4</v>
      </c>
      <c r="O19" s="758"/>
      <c r="P19" s="178"/>
      <c r="Q19" s="185"/>
      <c r="R19" s="103"/>
      <c r="S19" s="1605"/>
      <c r="T19" s="1605"/>
      <c r="U19" s="1606"/>
      <c r="V19" s="89"/>
    </row>
    <row r="20" spans="1:22" ht="15.75">
      <c r="A20" s="89"/>
      <c r="B20" s="7"/>
      <c r="C20" s="5"/>
      <c r="D20" s="823"/>
      <c r="L20" s="1374">
        <f>$F$11*(X8/SUM($X$8:$X$13))</f>
        <v>623.93653713497349</v>
      </c>
      <c r="M20" s="248" t="str">
        <f>"g "&amp;C8</f>
        <v>g tipo 0 eller 00</v>
      </c>
      <c r="N20" s="1742">
        <f>X8</f>
        <v>1</v>
      </c>
      <c r="O20" s="758"/>
      <c r="P20" s="178"/>
      <c r="Q20" s="185"/>
      <c r="R20" s="1551" t="s">
        <v>0</v>
      </c>
      <c r="S20" s="1922">
        <f ca="1">IF(S9="","?",S9-T18+S8)</f>
        <v>45925.694444444445</v>
      </c>
      <c r="T20" s="1922"/>
      <c r="U20" s="1922"/>
      <c r="V20" s="89"/>
    </row>
    <row r="21" spans="1:22" ht="15.75">
      <c r="A21" s="89"/>
      <c r="B21" s="7"/>
      <c r="L21" s="1494">
        <f>$F$11*(X10/SUM($X$8:$X$13))</f>
        <v>18.6249712577604</v>
      </c>
      <c r="M21" s="832" t="s">
        <v>29</v>
      </c>
      <c r="N21" s="1744">
        <f>X10</f>
        <v>2.9850746268656716E-2</v>
      </c>
      <c r="O21" s="758"/>
      <c r="P21" s="178"/>
      <c r="Q21" s="185"/>
      <c r="R21" s="1614" t="str">
        <f ca="1">"Dag "&amp;IF(S9="","?",_xlfn.DAYS(S21,S20)+1)</f>
        <v>Dag 2</v>
      </c>
      <c r="S21" s="1950">
        <f ca="1">IF(S9="","?",S20+SUM(T11:T14))</f>
        <v>45926.392361111109</v>
      </c>
      <c r="T21" s="1950"/>
      <c r="U21" s="1950"/>
      <c r="V21" s="89"/>
    </row>
    <row r="22" spans="1:22" ht="15.75">
      <c r="A22" s="89"/>
      <c r="B22" s="7"/>
      <c r="L22" s="1496">
        <f>SUM(L18:L21)</f>
        <v>1079.9999999999998</v>
      </c>
      <c r="M22" s="467" t="s">
        <v>326</v>
      </c>
      <c r="N22" s="48"/>
      <c r="P22" s="178"/>
      <c r="Q22" s="185"/>
      <c r="R22" s="787"/>
      <c r="S22" s="89"/>
      <c r="T22" s="89"/>
      <c r="U22" s="89"/>
      <c r="V22" s="89"/>
    </row>
    <row r="23" spans="1:22" ht="15">
      <c r="A23" s="89"/>
      <c r="B23" s="7"/>
      <c r="P23" s="178"/>
      <c r="Q23" s="1616"/>
      <c r="R23" s="1617"/>
      <c r="S23" s="1618"/>
      <c r="T23" s="1618"/>
      <c r="U23" s="1618"/>
      <c r="V23" s="1618"/>
    </row>
    <row r="24" spans="1:22" ht="15">
      <c r="A24" s="89"/>
      <c r="B24" s="7"/>
      <c r="P24" s="178"/>
      <c r="Q24" s="185"/>
      <c r="R24" s="787"/>
      <c r="S24" s="89"/>
      <c r="T24" s="89"/>
      <c r="U24" s="89"/>
      <c r="V24" s="89"/>
    </row>
    <row r="25" spans="1:22" ht="15.75" customHeight="1">
      <c r="A25" s="89"/>
      <c r="B25" s="1479" t="s">
        <v>1035</v>
      </c>
      <c r="C25" s="1491" t="s">
        <v>0</v>
      </c>
      <c r="D25" s="1955"/>
      <c r="E25" s="1955"/>
      <c r="F25" s="536"/>
      <c r="G25" s="82"/>
      <c r="H25" s="807" t="str">
        <f>IF(M9="","","Start ca. kl.")</f>
        <v/>
      </c>
      <c r="I25" s="808" t="str">
        <f>IF(M9="","",TEXT(M9-25.5/24,"tt:mm"))</f>
        <v/>
      </c>
      <c r="J25" s="536"/>
      <c r="K25" s="1785" t="str">
        <f ca="1">TEXT(S20,"dddd")</f>
        <v>torsdag</v>
      </c>
      <c r="L25" s="1951">
        <f ca="1">IF($S$8="","",S20)</f>
        <v>45925.694444444445</v>
      </c>
      <c r="M25" s="1951"/>
      <c r="N25" s="1951"/>
      <c r="O25" s="758"/>
      <c r="P25" s="178"/>
      <c r="Q25" s="185"/>
      <c r="R25" s="787"/>
      <c r="S25" s="89"/>
      <c r="T25" s="89"/>
      <c r="U25" s="89"/>
      <c r="V25" s="89"/>
    </row>
    <row r="26" spans="1:22" ht="15.75">
      <c r="A26" s="89"/>
      <c r="B26" s="1057"/>
      <c r="C26" s="105"/>
      <c r="D26" s="105"/>
      <c r="E26" s="105"/>
      <c r="F26" s="105"/>
      <c r="G26" s="105"/>
      <c r="H26" s="105"/>
      <c r="I26" s="105"/>
      <c r="J26" s="105"/>
      <c r="O26" s="758"/>
      <c r="P26" s="178"/>
      <c r="Q26" s="185"/>
      <c r="R26" s="184" t="s">
        <v>358</v>
      </c>
      <c r="S26" s="183"/>
      <c r="T26" s="183"/>
      <c r="U26" s="89"/>
      <c r="V26" s="89"/>
    </row>
    <row r="27" spans="1:22" ht="18">
      <c r="A27" s="89"/>
      <c r="B27" s="1398" t="s">
        <v>1034</v>
      </c>
      <c r="C27" s="708">
        <v>1</v>
      </c>
      <c r="D27" s="425" t="s">
        <v>704</v>
      </c>
      <c r="E27" s="425"/>
      <c r="F27" s="425"/>
      <c r="G27" s="425"/>
      <c r="H27" s="425"/>
      <c r="I27" s="425"/>
      <c r="J27" s="105"/>
      <c r="L27" s="1328" t="str">
        <f>ROUND(L18,0)&amp;" "&amp;M18&amp;", "&amp;ROUND(L19,2)&amp;" g "&amp;AB12</f>
        <v>437 g. vand (kold), 0,37 g frisk gær</v>
      </c>
      <c r="M27" s="774"/>
      <c r="N27" s="775"/>
      <c r="O27" s="758"/>
      <c r="P27" s="178"/>
      <c r="Q27" s="185"/>
      <c r="R27" s="134" t="s">
        <v>353</v>
      </c>
      <c r="S27" s="97"/>
      <c r="T27" s="89"/>
      <c r="U27" s="89"/>
      <c r="V27" s="89"/>
    </row>
    <row r="28" spans="1:22" ht="15.75">
      <c r="A28" s="89"/>
      <c r="B28" s="7"/>
      <c r="C28" s="105"/>
      <c r="D28" s="105"/>
      <c r="E28" s="105"/>
      <c r="F28" s="105"/>
      <c r="G28" s="105"/>
      <c r="H28" s="105"/>
      <c r="I28" s="105"/>
      <c r="J28" s="105"/>
      <c r="M28" s="1485"/>
      <c r="N28" s="1485"/>
      <c r="O28" s="758"/>
      <c r="P28" s="178"/>
      <c r="Q28" s="185"/>
      <c r="R28" s="134" t="s">
        <v>367</v>
      </c>
      <c r="S28" s="97"/>
      <c r="T28" s="89"/>
      <c r="U28" s="89"/>
      <c r="V28" s="89"/>
    </row>
    <row r="29" spans="1:22" ht="18">
      <c r="A29" s="89"/>
      <c r="B29" s="1398" t="s">
        <v>1034</v>
      </c>
      <c r="C29" s="708">
        <v>2</v>
      </c>
      <c r="D29" s="425" t="s">
        <v>705</v>
      </c>
      <c r="E29" s="425"/>
      <c r="F29" s="425"/>
      <c r="G29" s="425"/>
      <c r="H29" s="425"/>
      <c r="I29" s="425"/>
      <c r="J29" s="425"/>
      <c r="L29" s="1328" t="str">
        <f>ROUND(L20,0)&amp;" g mel tipo 0 eller 00."</f>
        <v>624 g mel tipo 0 eller 00.</v>
      </c>
      <c r="M29" s="776"/>
      <c r="N29" s="777"/>
      <c r="O29" s="758"/>
      <c r="P29" s="178"/>
      <c r="Q29" s="185"/>
      <c r="R29" s="134" t="s">
        <v>359</v>
      </c>
      <c r="S29" s="89"/>
      <c r="T29" s="89"/>
      <c r="U29" s="89"/>
      <c r="V29" s="89"/>
    </row>
    <row r="30" spans="1:22" ht="15.75">
      <c r="A30" s="89"/>
      <c r="B30" s="7"/>
      <c r="C30" s="105"/>
      <c r="D30" s="105"/>
      <c r="E30" s="105"/>
      <c r="F30" s="105"/>
      <c r="G30" s="105"/>
      <c r="H30" s="105"/>
      <c r="I30" s="105"/>
      <c r="J30" s="105"/>
      <c r="M30" s="1485"/>
      <c r="N30" s="1485"/>
      <c r="O30" s="758"/>
      <c r="P30" s="178"/>
      <c r="Q30" s="185"/>
      <c r="R30" s="98" t="s">
        <v>360</v>
      </c>
      <c r="S30" s="89"/>
      <c r="T30" s="89"/>
      <c r="U30" s="89"/>
      <c r="V30" s="89"/>
    </row>
    <row r="31" spans="1:22" ht="15.75" customHeight="1">
      <c r="A31" s="89"/>
      <c r="B31" s="1398" t="s">
        <v>1034</v>
      </c>
      <c r="C31" s="708">
        <v>3</v>
      </c>
      <c r="D31" s="425" t="s">
        <v>706</v>
      </c>
      <c r="E31" s="425"/>
      <c r="F31" s="425"/>
      <c r="G31" s="425"/>
      <c r="H31" s="425"/>
      <c r="I31" s="425"/>
      <c r="J31" s="425"/>
      <c r="K31" s="5"/>
      <c r="L31" s="1328" t="str">
        <f>ROUND(L21,0)&amp;" g salt."</f>
        <v>19 g salt.</v>
      </c>
      <c r="M31" s="776"/>
      <c r="N31" s="777"/>
      <c r="O31" s="758"/>
      <c r="P31" s="178"/>
      <c r="Q31" s="185"/>
      <c r="R31" s="134" t="s">
        <v>354</v>
      </c>
      <c r="S31" s="97"/>
      <c r="T31" s="89"/>
      <c r="U31" s="89"/>
      <c r="V31" s="89"/>
    </row>
    <row r="32" spans="1:22" ht="15.75">
      <c r="A32" s="89"/>
      <c r="B32" s="7"/>
      <c r="C32" s="708"/>
      <c r="D32" s="425" t="s">
        <v>707</v>
      </c>
      <c r="E32" s="425"/>
      <c r="F32" s="425"/>
      <c r="G32" s="425"/>
      <c r="H32" s="425"/>
      <c r="I32" s="425"/>
      <c r="J32" s="425"/>
      <c r="K32" s="5"/>
      <c r="L32" s="1486"/>
      <c r="M32" s="5"/>
      <c r="N32" s="5"/>
      <c r="O32" s="758"/>
      <c r="P32" s="178"/>
      <c r="Q32" s="185"/>
      <c r="R32" s="134" t="s">
        <v>356</v>
      </c>
      <c r="S32" s="97"/>
      <c r="T32" s="89"/>
      <c r="U32" s="89"/>
      <c r="V32" s="89"/>
    </row>
    <row r="33" spans="1:22" ht="15.75">
      <c r="A33" s="89"/>
      <c r="B33" s="7"/>
      <c r="C33" s="105"/>
      <c r="D33" s="105"/>
      <c r="E33" s="105"/>
      <c r="F33" s="105"/>
      <c r="G33" s="105"/>
      <c r="H33" s="105"/>
      <c r="I33" s="105"/>
      <c r="J33" s="105"/>
      <c r="K33" s="5"/>
      <c r="L33" s="5"/>
      <c r="M33" s="5"/>
      <c r="N33" s="5"/>
      <c r="O33" s="758"/>
      <c r="P33" s="178"/>
      <c r="Q33" s="185"/>
      <c r="R33" s="134"/>
      <c r="S33" s="97"/>
      <c r="T33" s="89"/>
      <c r="U33" s="89"/>
      <c r="V33" s="89"/>
    </row>
    <row r="34" spans="1:22" ht="18">
      <c r="A34" s="89"/>
      <c r="B34" s="1398" t="s">
        <v>1034</v>
      </c>
      <c r="C34" s="708">
        <v>4</v>
      </c>
      <c r="D34" s="425" t="s">
        <v>712</v>
      </c>
      <c r="E34" s="425"/>
      <c r="F34" s="425"/>
      <c r="G34" s="425"/>
      <c r="H34" s="425"/>
      <c r="I34" s="425"/>
      <c r="J34" s="425"/>
      <c r="O34" s="45"/>
      <c r="P34" s="178"/>
      <c r="Q34" s="185"/>
      <c r="R34" s="180" t="s">
        <v>361</v>
      </c>
      <c r="S34" s="175"/>
      <c r="T34" s="89"/>
      <c r="U34" s="89"/>
      <c r="V34" s="89"/>
    </row>
    <row r="35" spans="1:22" ht="15.75">
      <c r="A35" s="89"/>
      <c r="B35" s="44"/>
      <c r="C35" s="708"/>
      <c r="D35" s="425" t="s">
        <v>708</v>
      </c>
      <c r="E35" s="425"/>
      <c r="F35" s="425"/>
      <c r="G35" s="425"/>
      <c r="H35" s="425"/>
      <c r="I35" s="425"/>
      <c r="J35" s="425"/>
      <c r="O35" s="45"/>
      <c r="P35" s="178"/>
      <c r="Q35" s="185"/>
      <c r="R35" s="134" t="s">
        <v>338</v>
      </c>
      <c r="S35" s="89"/>
      <c r="T35" s="341">
        <v>25</v>
      </c>
      <c r="U35" s="89"/>
      <c r="V35" s="89"/>
    </row>
    <row r="36" spans="1:22" ht="15.75">
      <c r="A36" s="89"/>
      <c r="B36" s="44"/>
      <c r="C36" s="105"/>
      <c r="D36" s="105"/>
      <c r="E36" s="105"/>
      <c r="F36" s="105"/>
      <c r="G36" s="105"/>
      <c r="H36" s="105"/>
      <c r="I36" s="105"/>
      <c r="J36" s="105"/>
      <c r="O36" s="45"/>
      <c r="P36" s="178"/>
      <c r="Q36" s="185"/>
      <c r="R36" s="152" t="s">
        <v>339</v>
      </c>
      <c r="S36" s="89"/>
      <c r="T36" s="342"/>
      <c r="U36" s="138"/>
      <c r="V36" s="89"/>
    </row>
    <row r="37" spans="1:22" ht="18">
      <c r="A37" s="89"/>
      <c r="B37" s="1398" t="s">
        <v>1034</v>
      </c>
      <c r="C37" s="708">
        <v>5</v>
      </c>
      <c r="D37" s="425" t="s">
        <v>709</v>
      </c>
      <c r="E37" s="425"/>
      <c r="F37" s="425"/>
      <c r="G37" s="425"/>
      <c r="H37" s="425"/>
      <c r="I37" s="425"/>
      <c r="J37" s="425"/>
      <c r="O37" s="45"/>
      <c r="P37" s="178"/>
      <c r="Q37" s="185"/>
      <c r="R37" s="152" t="s">
        <v>340</v>
      </c>
      <c r="S37" s="89"/>
      <c r="T37" s="342"/>
      <c r="U37" s="138"/>
      <c r="V37" s="89"/>
    </row>
    <row r="38" spans="1:22" ht="15.75">
      <c r="A38" s="89"/>
      <c r="B38" s="44"/>
      <c r="C38" s="105"/>
      <c r="D38" s="105"/>
      <c r="E38" s="105"/>
      <c r="F38" s="105"/>
      <c r="G38" s="105"/>
      <c r="H38" s="105"/>
      <c r="I38" s="105"/>
      <c r="J38" s="105"/>
      <c r="O38" s="45"/>
      <c r="P38" s="178"/>
      <c r="Q38" s="185"/>
      <c r="R38" s="148" t="s">
        <v>341</v>
      </c>
      <c r="S38" s="186"/>
      <c r="T38" s="343"/>
      <c r="U38" s="138"/>
      <c r="V38" s="89"/>
    </row>
    <row r="39" spans="1:22" ht="15.75">
      <c r="A39" s="89"/>
      <c r="B39" s="44"/>
      <c r="C39" s="105"/>
      <c r="D39" s="105"/>
      <c r="E39" s="105"/>
      <c r="F39" s="105"/>
      <c r="G39" s="105"/>
      <c r="H39" s="105"/>
      <c r="I39" s="105"/>
      <c r="J39" s="105"/>
      <c r="O39" s="45"/>
      <c r="P39" s="178"/>
      <c r="Q39" s="185"/>
      <c r="R39" s="152" t="s">
        <v>342</v>
      </c>
      <c r="S39" s="89"/>
      <c r="T39" s="1598" t="str">
        <f>IF(OR(T35="",T36=""),"",(T35*2)-T36-T37-(T38*2)&amp;"°")</f>
        <v/>
      </c>
      <c r="U39" s="138"/>
      <c r="V39" s="89"/>
    </row>
    <row r="40" spans="1:22" ht="17.25">
      <c r="A40" s="89"/>
      <c r="B40" s="2"/>
      <c r="C40" s="1491" t="s">
        <v>4</v>
      </c>
      <c r="D40" s="1215"/>
      <c r="E40" s="1215"/>
      <c r="F40" s="82"/>
      <c r="G40" s="82"/>
      <c r="H40" s="807" t="str">
        <f>IF(M9="","","Start ca. kl.")</f>
        <v/>
      </c>
      <c r="I40" s="809" t="str">
        <f>IF(M9="","",TEXT(D40-8.25/24,"tt:mm"))</f>
        <v/>
      </c>
      <c r="J40" s="810"/>
      <c r="K40" s="1785" t="str">
        <f ca="1">TEXT(S21,"dddd")</f>
        <v>fredag</v>
      </c>
      <c r="L40" s="1951">
        <f ca="1">IF($S$8="","",S21)</f>
        <v>45926.392361111109</v>
      </c>
      <c r="M40" s="1951"/>
      <c r="N40" s="1951"/>
      <c r="O40" s="45"/>
      <c r="P40" s="178"/>
      <c r="Q40" s="185"/>
      <c r="R40" s="159" t="s">
        <v>343</v>
      </c>
      <c r="S40" s="323"/>
      <c r="T40" s="323"/>
      <c r="U40" s="138"/>
      <c r="V40" s="89"/>
    </row>
    <row r="41" spans="1:22" ht="15.75">
      <c r="A41" s="89"/>
      <c r="B41" s="44"/>
      <c r="C41" s="105"/>
      <c r="D41" s="105"/>
      <c r="E41" s="105"/>
      <c r="F41" s="105"/>
      <c r="G41" s="105"/>
      <c r="H41" s="105"/>
      <c r="I41" s="105"/>
      <c r="J41" s="105"/>
      <c r="O41" s="45"/>
      <c r="P41" s="178"/>
      <c r="Q41" s="185"/>
      <c r="R41" s="98"/>
      <c r="S41" s="98"/>
      <c r="T41" s="98"/>
      <c r="U41" s="138"/>
      <c r="V41" s="89"/>
    </row>
    <row r="42" spans="1:22" ht="18">
      <c r="A42" s="89"/>
      <c r="B42" s="1398" t="s">
        <v>1034</v>
      </c>
      <c r="C42" s="708">
        <v>6</v>
      </c>
      <c r="D42" s="105" t="str">
        <f>"Virk dejen op i "&amp;F8&amp;" boller af ca. "&amp;ROUND(F9,0)&amp;" g."</f>
        <v>Virk dejen op i 4 boller af ca. 270 g.</v>
      </c>
      <c r="E42" s="105"/>
      <c r="F42" s="105"/>
      <c r="G42" s="105"/>
      <c r="H42" s="105"/>
      <c r="I42" s="105"/>
      <c r="J42" s="105"/>
      <c r="N42" s="5"/>
      <c r="O42" s="6"/>
      <c r="P42" s="178"/>
      <c r="Q42" s="89"/>
      <c r="R42" s="181" t="s">
        <v>362</v>
      </c>
      <c r="S42" s="181"/>
      <c r="T42" s="183"/>
      <c r="U42" s="138"/>
      <c r="V42" s="89"/>
    </row>
    <row r="43" spans="1:22" ht="15.75">
      <c r="A43" s="89"/>
      <c r="B43" s="44"/>
      <c r="C43" s="105"/>
      <c r="D43" s="105"/>
      <c r="E43" s="105"/>
      <c r="F43" s="105"/>
      <c r="G43" s="105"/>
      <c r="H43" s="105"/>
      <c r="I43" s="105"/>
      <c r="J43" s="105"/>
      <c r="O43" s="45"/>
      <c r="P43" s="178"/>
      <c r="Q43" s="89"/>
      <c r="R43" s="134" t="s">
        <v>364</v>
      </c>
      <c r="S43" s="98"/>
      <c r="T43" s="98"/>
      <c r="U43" s="138"/>
      <c r="V43" s="89"/>
    </row>
    <row r="44" spans="1:22" ht="18">
      <c r="A44" s="89"/>
      <c r="B44" s="1398" t="s">
        <v>1034</v>
      </c>
      <c r="C44" s="1448">
        <v>7</v>
      </c>
      <c r="D44" s="105" t="s">
        <v>710</v>
      </c>
      <c r="E44" s="105"/>
      <c r="F44" s="105"/>
      <c r="G44" s="105"/>
      <c r="H44" s="105"/>
      <c r="I44" s="105"/>
      <c r="J44" s="105"/>
      <c r="O44" s="6"/>
      <c r="P44" s="178"/>
      <c r="Q44" s="185"/>
      <c r="R44" s="134" t="s">
        <v>363</v>
      </c>
      <c r="S44" s="98"/>
      <c r="T44" s="98"/>
      <c r="U44" s="138"/>
      <c r="V44" s="89"/>
    </row>
    <row r="45" spans="1:22" ht="15">
      <c r="A45" s="89"/>
      <c r="B45" s="7"/>
      <c r="C45" s="1487"/>
      <c r="D45" s="1488"/>
      <c r="E45" s="5"/>
      <c r="F45" s="5"/>
      <c r="G45" s="5"/>
      <c r="H45" s="5"/>
      <c r="I45" s="5"/>
      <c r="J45" s="5"/>
      <c r="K45" s="5"/>
      <c r="M45" s="769"/>
      <c r="N45" s="1489"/>
      <c r="O45" s="1490"/>
      <c r="P45" s="89"/>
      <c r="Q45" s="185"/>
      <c r="R45" s="160" t="s">
        <v>365</v>
      </c>
      <c r="S45" s="98"/>
      <c r="T45" s="89"/>
      <c r="U45" s="138"/>
      <c r="V45" s="89"/>
    </row>
    <row r="46" spans="1:22" ht="15">
      <c r="A46" s="89"/>
      <c r="B46" s="2"/>
      <c r="C46" s="1451"/>
      <c r="D46" s="1452"/>
      <c r="E46" s="3"/>
      <c r="F46" s="3"/>
      <c r="G46" s="3"/>
      <c r="H46" s="3"/>
      <c r="I46" s="3"/>
      <c r="J46" s="3"/>
      <c r="K46" s="3"/>
      <c r="L46" s="82"/>
      <c r="M46" s="760"/>
      <c r="N46" s="1453" t="s">
        <v>523</v>
      </c>
      <c r="O46" s="761"/>
      <c r="P46" s="89"/>
      <c r="Q46" s="185"/>
      <c r="R46" s="98" t="s">
        <v>368</v>
      </c>
      <c r="S46" s="93"/>
      <c r="T46" s="89"/>
      <c r="U46" s="138"/>
      <c r="V46" s="89"/>
    </row>
    <row r="47" spans="1:22" ht="15">
      <c r="A47" s="89"/>
      <c r="B47" s="89"/>
      <c r="C47" s="778"/>
      <c r="D47" s="779"/>
      <c r="E47" s="89"/>
      <c r="F47" s="89"/>
      <c r="G47" s="89"/>
      <c r="H47" s="89"/>
      <c r="I47" s="89"/>
      <c r="J47" s="89"/>
      <c r="K47" s="89"/>
      <c r="L47" s="89"/>
      <c r="M47" s="780"/>
      <c r="N47" s="781"/>
      <c r="O47" s="780"/>
      <c r="P47" s="89"/>
      <c r="Q47" s="185"/>
      <c r="R47" s="98" t="s">
        <v>366</v>
      </c>
      <c r="S47" s="93"/>
      <c r="T47" s="89"/>
      <c r="U47" s="138"/>
      <c r="V47" s="89"/>
    </row>
    <row r="48" spans="1:22" ht="15">
      <c r="A48" s="89"/>
      <c r="B48" s="89"/>
      <c r="C48" s="89"/>
      <c r="D48" s="89"/>
      <c r="E48" s="89"/>
      <c r="F48" s="89"/>
      <c r="G48" s="89"/>
      <c r="H48" s="89"/>
      <c r="I48" s="89"/>
      <c r="J48" s="89"/>
      <c r="K48" s="89"/>
      <c r="L48" s="89"/>
      <c r="M48" s="89"/>
      <c r="N48" s="89"/>
      <c r="O48" s="89"/>
      <c r="P48" s="89"/>
      <c r="Q48" s="185"/>
      <c r="R48" s="89"/>
      <c r="S48" s="134"/>
      <c r="T48" s="93"/>
      <c r="U48" s="89"/>
      <c r="V48" s="89"/>
    </row>
    <row r="49" spans="1:22" ht="15">
      <c r="A49" s="89"/>
      <c r="B49" s="89"/>
      <c r="C49" s="89"/>
      <c r="D49" s="89"/>
      <c r="E49" s="89"/>
      <c r="F49" s="89"/>
      <c r="G49" s="89"/>
      <c r="H49" s="89"/>
      <c r="I49" s="89"/>
      <c r="J49" s="89"/>
      <c r="K49" s="89"/>
      <c r="L49" s="89"/>
      <c r="M49" s="89"/>
      <c r="N49" s="89"/>
      <c r="O49" s="89"/>
      <c r="P49" s="89"/>
      <c r="Q49" s="185"/>
      <c r="R49" s="89"/>
      <c r="S49" s="134"/>
      <c r="T49" s="93"/>
      <c r="U49" s="89"/>
      <c r="V49" s="89"/>
    </row>
    <row r="50" spans="1:22" ht="15">
      <c r="A50" s="89"/>
      <c r="B50" s="89"/>
      <c r="C50" s="89"/>
      <c r="D50" s="89"/>
      <c r="E50" s="89"/>
      <c r="F50" s="89"/>
      <c r="G50" s="89"/>
      <c r="H50" s="89"/>
      <c r="I50" s="89"/>
      <c r="J50" s="89"/>
      <c r="K50" s="89"/>
      <c r="L50" s="89"/>
      <c r="M50" s="89"/>
      <c r="N50" s="89"/>
      <c r="O50" s="89"/>
      <c r="P50" s="89"/>
      <c r="Q50" s="185"/>
      <c r="R50" s="89"/>
      <c r="S50" s="134"/>
      <c r="T50" s="93"/>
      <c r="U50" s="89"/>
      <c r="V50" s="89"/>
    </row>
    <row r="51" spans="1:22" ht="15">
      <c r="A51" s="89"/>
      <c r="B51" s="89"/>
      <c r="C51" s="89"/>
      <c r="D51" s="89"/>
      <c r="E51" s="89"/>
      <c r="F51" s="89"/>
      <c r="G51" s="89"/>
      <c r="H51" s="89"/>
      <c r="I51" s="89"/>
      <c r="J51" s="89"/>
      <c r="K51" s="89"/>
      <c r="L51" s="89"/>
      <c r="M51" s="89"/>
      <c r="N51" s="89"/>
      <c r="O51" s="89"/>
      <c r="P51" s="89"/>
      <c r="Q51" s="185"/>
      <c r="R51" s="89"/>
      <c r="S51" s="134"/>
      <c r="T51" s="93"/>
      <c r="U51" s="89"/>
      <c r="V51" s="89"/>
    </row>
    <row r="52" spans="1:22" ht="15">
      <c r="A52" s="89"/>
      <c r="B52" s="89"/>
      <c r="C52" s="89"/>
      <c r="D52" s="89"/>
      <c r="E52" s="89"/>
      <c r="F52" s="89"/>
      <c r="G52" s="89"/>
      <c r="H52" s="89"/>
      <c r="I52" s="89"/>
      <c r="J52" s="89"/>
      <c r="K52" s="89"/>
      <c r="L52" s="89"/>
      <c r="M52" s="89"/>
      <c r="N52" s="89"/>
      <c r="O52" s="89"/>
      <c r="P52" s="89"/>
      <c r="Q52" s="185"/>
      <c r="R52" s="98"/>
      <c r="S52" s="134"/>
      <c r="T52" s="93"/>
      <c r="U52" s="89"/>
      <c r="V52" s="89"/>
    </row>
    <row r="53" spans="1:22" ht="15">
      <c r="A53" s="89"/>
      <c r="B53" s="89"/>
      <c r="C53" s="89"/>
      <c r="D53" s="89"/>
      <c r="E53" s="89"/>
      <c r="F53" s="89"/>
      <c r="G53" s="89"/>
      <c r="H53" s="89"/>
      <c r="I53" s="89"/>
      <c r="J53" s="89"/>
      <c r="K53" s="89"/>
      <c r="L53" s="89"/>
      <c r="M53" s="89"/>
      <c r="N53" s="89"/>
      <c r="O53" s="89"/>
      <c r="P53" s="89"/>
      <c r="Q53" s="185"/>
      <c r="R53" s="98"/>
      <c r="S53" s="134"/>
      <c r="T53" s="93"/>
      <c r="U53" s="89"/>
      <c r="V53" s="89"/>
    </row>
    <row r="54" spans="1:22" ht="15">
      <c r="A54" s="89"/>
      <c r="B54" s="89"/>
      <c r="C54" s="89"/>
      <c r="D54" s="89"/>
      <c r="E54" s="89"/>
      <c r="F54" s="89"/>
      <c r="G54" s="89"/>
      <c r="H54" s="89"/>
      <c r="I54" s="89"/>
      <c r="J54" s="89"/>
      <c r="K54" s="89"/>
      <c r="L54" s="89"/>
      <c r="M54" s="89"/>
      <c r="N54" s="89"/>
      <c r="O54" s="89"/>
      <c r="P54" s="89"/>
      <c r="Q54" s="185"/>
      <c r="R54" s="98"/>
      <c r="S54" s="134"/>
      <c r="T54" s="93"/>
      <c r="U54" s="89"/>
      <c r="V54" s="89"/>
    </row>
    <row r="55" spans="1:22" ht="15">
      <c r="A55" s="89"/>
      <c r="B55" s="89"/>
      <c r="C55" s="89"/>
      <c r="D55" s="89"/>
      <c r="E55" s="89"/>
      <c r="F55" s="89"/>
      <c r="G55" s="89"/>
      <c r="H55" s="89"/>
      <c r="I55" s="89"/>
      <c r="J55" s="89"/>
      <c r="K55" s="89"/>
      <c r="L55" s="89"/>
      <c r="M55" s="89"/>
      <c r="N55" s="89"/>
      <c r="O55" s="89"/>
      <c r="P55" s="89"/>
      <c r="Q55" s="185"/>
      <c r="R55" s="98"/>
      <c r="S55" s="134"/>
      <c r="T55" s="93"/>
      <c r="U55" s="89"/>
      <c r="V55" s="89"/>
    </row>
    <row r="56" spans="1:22" ht="15">
      <c r="A56" s="89"/>
      <c r="B56" s="89"/>
      <c r="C56" s="89"/>
      <c r="D56" s="89"/>
      <c r="E56" s="89"/>
      <c r="F56" s="89"/>
      <c r="G56" s="89"/>
      <c r="H56" s="89"/>
      <c r="I56" s="89"/>
      <c r="J56" s="89"/>
      <c r="K56" s="89"/>
      <c r="L56" s="89"/>
      <c r="M56" s="89"/>
      <c r="N56" s="89"/>
      <c r="O56" s="89"/>
      <c r="P56" s="89"/>
      <c r="Q56" s="185"/>
      <c r="R56" s="98"/>
      <c r="S56" s="134"/>
      <c r="T56" s="93"/>
      <c r="U56" s="89"/>
      <c r="V56" s="89"/>
    </row>
    <row r="57" spans="1:22" ht="15">
      <c r="A57" s="89"/>
      <c r="B57" s="89"/>
      <c r="C57" s="89"/>
      <c r="D57" s="89"/>
      <c r="E57" s="89"/>
      <c r="F57" s="89"/>
      <c r="G57" s="89"/>
      <c r="H57" s="89"/>
      <c r="I57" s="89"/>
      <c r="J57" s="89"/>
      <c r="K57" s="89"/>
      <c r="L57" s="89"/>
      <c r="M57" s="89"/>
      <c r="N57" s="89"/>
      <c r="O57" s="89"/>
      <c r="P57" s="89"/>
      <c r="Q57" s="185"/>
      <c r="R57" s="1599"/>
      <c r="S57" s="134"/>
      <c r="T57" s="93"/>
      <c r="U57" s="89"/>
      <c r="V57" s="89"/>
    </row>
    <row r="58" spans="1:22" ht="15">
      <c r="A58" s="89"/>
      <c r="B58" s="89"/>
      <c r="C58" s="89"/>
      <c r="D58" s="89"/>
      <c r="E58" s="89"/>
      <c r="F58" s="89"/>
      <c r="G58" s="89"/>
      <c r="H58" s="89"/>
      <c r="I58" s="89"/>
      <c r="J58" s="89"/>
      <c r="K58" s="89"/>
      <c r="L58" s="89"/>
      <c r="M58" s="89"/>
      <c r="N58" s="89"/>
      <c r="O58" s="89"/>
      <c r="P58" s="89"/>
      <c r="Q58" s="185"/>
      <c r="R58" s="89"/>
      <c r="S58" s="134"/>
      <c r="T58" s="93"/>
      <c r="U58" s="89"/>
      <c r="V58" s="89"/>
    </row>
    <row r="59" spans="1:22" ht="15">
      <c r="A59" s="89"/>
      <c r="B59" s="89"/>
      <c r="C59" s="89"/>
      <c r="D59" s="89"/>
      <c r="E59" s="89"/>
      <c r="F59" s="89"/>
      <c r="G59" s="89"/>
      <c r="H59" s="89"/>
      <c r="I59" s="89"/>
      <c r="J59" s="89"/>
      <c r="K59" s="89"/>
      <c r="L59" s="89"/>
      <c r="M59" s="89"/>
      <c r="N59" s="89"/>
      <c r="O59" s="89"/>
      <c r="P59" s="89"/>
      <c r="Q59" s="185"/>
      <c r="R59" s="89"/>
      <c r="S59" s="134"/>
      <c r="T59" s="93"/>
      <c r="U59" s="89"/>
      <c r="V59" s="89"/>
    </row>
    <row r="60" spans="1:22" ht="15">
      <c r="A60" s="89"/>
      <c r="B60" s="89"/>
      <c r="C60" s="89"/>
      <c r="D60" s="89"/>
      <c r="E60" s="89"/>
      <c r="F60" s="89"/>
      <c r="G60" s="89"/>
      <c r="H60" s="89"/>
      <c r="I60" s="89"/>
      <c r="J60" s="89"/>
      <c r="K60" s="89"/>
      <c r="L60" s="89"/>
      <c r="M60" s="89"/>
      <c r="N60" s="89"/>
      <c r="O60" s="89"/>
      <c r="P60" s="89"/>
      <c r="Q60" s="185"/>
      <c r="R60" s="89"/>
      <c r="S60" s="134"/>
      <c r="T60" s="93"/>
      <c r="U60" s="89"/>
      <c r="V60" s="89"/>
    </row>
    <row r="61" spans="1:22" ht="15">
      <c r="A61" s="89"/>
      <c r="B61" s="89"/>
      <c r="C61" s="89"/>
      <c r="D61" s="89"/>
      <c r="E61" s="89"/>
      <c r="F61" s="89"/>
      <c r="G61" s="89"/>
      <c r="H61" s="89"/>
      <c r="I61" s="89"/>
      <c r="J61" s="89"/>
      <c r="K61" s="89"/>
      <c r="L61" s="89"/>
      <c r="M61" s="89"/>
      <c r="N61" s="89"/>
      <c r="O61" s="89"/>
      <c r="P61" s="89"/>
      <c r="Q61" s="185"/>
      <c r="R61" s="89"/>
      <c r="S61" s="89"/>
      <c r="T61" s="89"/>
      <c r="U61" s="89"/>
      <c r="V61" s="89"/>
    </row>
    <row r="62" spans="1:22" ht="15">
      <c r="A62" s="89"/>
      <c r="B62" s="89"/>
      <c r="C62" s="89"/>
      <c r="D62" s="89"/>
      <c r="E62" s="89"/>
      <c r="F62" s="89"/>
      <c r="G62" s="89"/>
      <c r="H62" s="89"/>
      <c r="I62" s="89"/>
      <c r="J62" s="89"/>
      <c r="K62" s="89"/>
      <c r="L62" s="89"/>
      <c r="M62" s="89"/>
      <c r="N62" s="89"/>
      <c r="O62" s="89"/>
      <c r="P62" s="89"/>
      <c r="Q62" s="185"/>
      <c r="R62" s="89"/>
      <c r="S62" s="89"/>
      <c r="T62" s="89"/>
      <c r="U62" s="89"/>
      <c r="V62" s="89"/>
    </row>
    <row r="63" spans="1:22" ht="15">
      <c r="A63" s="89"/>
      <c r="B63" s="89"/>
      <c r="C63" s="89"/>
      <c r="D63" s="89"/>
      <c r="E63" s="89"/>
      <c r="F63" s="89"/>
      <c r="G63" s="89"/>
      <c r="H63" s="89"/>
      <c r="I63" s="89"/>
      <c r="J63" s="89"/>
      <c r="K63" s="89"/>
      <c r="L63" s="89"/>
      <c r="M63" s="89"/>
      <c r="N63" s="89"/>
      <c r="O63" s="89"/>
      <c r="P63" s="89"/>
      <c r="Q63" s="185"/>
      <c r="R63" s="89"/>
      <c r="S63" s="89"/>
      <c r="T63" s="89"/>
      <c r="U63" s="89"/>
      <c r="V63" s="89"/>
    </row>
    <row r="64" spans="1:22" ht="15.75" customHeight="1">
      <c r="A64" s="89"/>
      <c r="B64" s="89"/>
      <c r="C64" s="89"/>
      <c r="D64" s="89"/>
      <c r="E64" s="89"/>
      <c r="F64" s="89"/>
      <c r="G64" s="89"/>
      <c r="H64" s="89"/>
      <c r="I64" s="89"/>
      <c r="J64" s="89"/>
      <c r="K64" s="89"/>
      <c r="L64" s="89"/>
      <c r="M64" s="89"/>
      <c r="N64" s="89"/>
      <c r="O64" s="89"/>
      <c r="P64" s="89"/>
      <c r="Q64" s="185"/>
      <c r="R64" s="89"/>
      <c r="S64" s="89"/>
      <c r="T64" s="89"/>
      <c r="U64" s="89"/>
      <c r="V64" s="89"/>
    </row>
    <row r="65" ht="15.75" hidden="1" customHeight="1"/>
  </sheetData>
  <sheetProtection algorithmName="SHA-512" hashValue="UaMRGP6VbSEgLDpr4DYUEqqJntb2FdZYd0yagmroQYi7BBp9dn7jP+gdb5Cfz5dxGBnR3UwTy6CDdcD5mcsGaQ==" saltValue="uli4f52a6RPnrf9gl2fCKA==" spinCount="100000" sheet="1" objects="1" scenarios="1" selectLockedCells="1"/>
  <mergeCells count="17">
    <mergeCell ref="C2:J3"/>
    <mergeCell ref="M10:O10"/>
    <mergeCell ref="L17:N17"/>
    <mergeCell ref="C13:J15"/>
    <mergeCell ref="D25:E25"/>
    <mergeCell ref="I7:K8"/>
    <mergeCell ref="L16:N16"/>
    <mergeCell ref="Q5:V6"/>
    <mergeCell ref="T7:V7"/>
    <mergeCell ref="T8:V8"/>
    <mergeCell ref="U11:V11"/>
    <mergeCell ref="J11:K11"/>
    <mergeCell ref="S20:U20"/>
    <mergeCell ref="S21:U21"/>
    <mergeCell ref="U15:V15"/>
    <mergeCell ref="L25:N25"/>
    <mergeCell ref="L40:N40"/>
  </mergeCells>
  <dataValidations count="5">
    <dataValidation allowBlank="1" showInputMessage="1" showErrorMessage="1" promptTitle="Anbefaling" prompt="24-27°_x000a_Dejtemperaturen har meget stor betydning for det endelieg resultat." sqref="T35" xr:uid="{6013F288-11E2-4938-B7D0-AEB708CE35EB}"/>
    <dataValidation allowBlank="1" sqref="L7:L8 M10" xr:uid="{EA290E75-48A4-4E9B-9F43-1D0783F47350}"/>
    <dataValidation type="list" allowBlank="1" sqref="S8" xr:uid="{29C5322C-DCAB-406D-AD2E-88F89A57C8A5}">
      <formula1>"11:30,12:00,12:30,13:00,17:00,17:30,18:00,18:30,19:00,19:30"</formula1>
    </dataValidation>
    <dataValidation type="list" allowBlank="1" showInputMessage="1" showErrorMessage="1" sqref="J11:K11" xr:uid="{020E079D-38C2-4795-92EA-697C8821583B}">
      <formula1>$AA$8:$AA$10</formula1>
    </dataValidation>
    <dataValidation type="list" allowBlank="1" showErrorMessage="1" sqref="S7" xr:uid="{5863D970-029F-475A-91A5-75C4AD5B8CC2}">
      <formula1>"Mandag,Tirsdag,Onsdag,Torsdag,Fredag,Lørdag,Søndag"</formula1>
    </dataValidation>
  </dataValidations>
  <pageMargins left="0.25" right="0.25" top="0.75" bottom="0.75" header="0.3" footer="0.3"/>
  <pageSetup paperSize="9" scale="8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7464-7D86-4C56-9631-38567D03C6A1}">
  <sheetPr codeName="Ark28">
    <tabColor rgb="FFFFFFCC"/>
    <pageSetUpPr fitToPage="1"/>
  </sheetPr>
  <dimension ref="A1:AB72"/>
  <sheetViews>
    <sheetView showGridLines="0" showRowColHeaders="0" zoomScaleNormal="100" workbookViewId="0">
      <pane ySplit="4" topLeftCell="A5" activePane="bottomLeft" state="frozen"/>
      <selection activeCell="H8" sqref="H8"/>
      <selection pane="bottomLeft" activeCell="R7" sqref="R7"/>
    </sheetView>
  </sheetViews>
  <sheetFormatPr defaultColWidth="0" defaultRowHeight="15" customHeight="1" zeroHeight="1"/>
  <cols>
    <col min="1" max="1" width="2.42578125" customWidth="1"/>
    <col min="2" max="2" width="5.85546875" customWidth="1"/>
    <col min="3" max="3" width="7.7109375" customWidth="1"/>
    <col min="4" max="4" width="23.42578125" customWidth="1"/>
    <col min="5" max="5" width="14.5703125" customWidth="1"/>
    <col min="6" max="6" width="8.140625" customWidth="1"/>
    <col min="7" max="7" width="8" customWidth="1"/>
    <col min="8" max="8" width="2.7109375" customWidth="1"/>
    <col min="9" max="9" width="8.85546875" customWidth="1"/>
    <col min="10" max="10" width="15.85546875" customWidth="1"/>
    <col min="11" max="11" width="7" customWidth="1"/>
    <col min="12" max="12" width="12.28515625" customWidth="1"/>
    <col min="13" max="13" width="23.42578125" style="1" customWidth="1"/>
    <col min="14" max="14" width="3.28515625" customWidth="1"/>
    <col min="15" max="16" width="4.28515625" customWidth="1"/>
    <col min="17" max="17" width="8" style="147" customWidth="1"/>
    <col min="18" max="18" width="19.85546875" style="147" customWidth="1"/>
    <col min="19" max="19" width="8.140625" style="18" customWidth="1"/>
    <col min="20" max="20" width="8.5703125" customWidth="1"/>
    <col min="21" max="21" width="3.140625" customWidth="1"/>
    <col min="22" max="22" width="22.28515625" hidden="1" customWidth="1"/>
    <col min="23" max="23" width="15.5703125" hidden="1" customWidth="1"/>
    <col min="24" max="24" width="10.28515625" hidden="1" customWidth="1"/>
    <col min="25" max="25" width="9.140625" hidden="1" customWidth="1"/>
    <col min="26" max="26" width="12.42578125" hidden="1" customWidth="1"/>
    <col min="27" max="27" width="12.7109375" hidden="1" customWidth="1"/>
    <col min="28" max="16384" width="9.140625" hidden="1"/>
  </cols>
  <sheetData>
    <row r="1" spans="1:28" ht="15" customHeight="1">
      <c r="A1" s="269"/>
      <c r="B1" s="269"/>
      <c r="C1" s="269"/>
      <c r="D1" s="1959" t="s">
        <v>848</v>
      </c>
      <c r="E1" s="1959"/>
      <c r="F1" s="1959"/>
      <c r="G1" s="1959"/>
      <c r="H1" s="1959"/>
      <c r="I1" s="1959"/>
      <c r="J1" s="1959"/>
      <c r="K1" s="269"/>
      <c r="L1" s="269"/>
      <c r="M1" s="223"/>
      <c r="N1" s="269"/>
      <c r="O1" s="269"/>
      <c r="P1" s="269"/>
      <c r="Q1" s="269"/>
      <c r="R1" s="269"/>
      <c r="S1" s="269"/>
      <c r="T1" s="269"/>
      <c r="U1" s="269"/>
    </row>
    <row r="2" spans="1:28" ht="15" customHeight="1">
      <c r="A2" s="269"/>
      <c r="B2" s="269"/>
      <c r="C2" s="269"/>
      <c r="D2" s="1959"/>
      <c r="E2" s="1959"/>
      <c r="F2" s="1959"/>
      <c r="G2" s="1959"/>
      <c r="H2" s="1959"/>
      <c r="I2" s="1959"/>
      <c r="J2" s="1959"/>
      <c r="K2" s="269"/>
      <c r="L2" s="269"/>
      <c r="M2" s="223"/>
      <c r="N2" s="269"/>
      <c r="O2" s="269"/>
      <c r="P2" s="269"/>
      <c r="Q2" s="269"/>
      <c r="R2" s="269"/>
      <c r="S2" s="269"/>
      <c r="T2" s="269"/>
      <c r="U2" s="269"/>
    </row>
    <row r="3" spans="1:28" ht="15" customHeight="1">
      <c r="A3" s="269"/>
      <c r="B3" s="269"/>
      <c r="C3" s="269"/>
      <c r="D3" s="1959"/>
      <c r="E3" s="1959"/>
      <c r="F3" s="1959"/>
      <c r="G3" s="1959"/>
      <c r="H3" s="1959"/>
      <c r="I3" s="1959"/>
      <c r="J3" s="1959"/>
      <c r="K3" s="269"/>
      <c r="L3" s="1164"/>
      <c r="M3" s="223"/>
      <c r="N3" s="269"/>
      <c r="O3" s="269"/>
      <c r="P3" s="269"/>
      <c r="Q3" s="269"/>
      <c r="R3" s="269"/>
      <c r="S3" s="269"/>
      <c r="T3" s="269"/>
      <c r="U3" s="269"/>
    </row>
    <row r="4" spans="1:28" ht="15" customHeight="1" thickBot="1">
      <c r="A4" s="270"/>
      <c r="B4" s="270"/>
      <c r="C4" s="270"/>
      <c r="D4" s="346" t="s">
        <v>731</v>
      </c>
      <c r="E4" s="1165"/>
      <c r="F4" s="1165"/>
      <c r="G4" s="1165"/>
      <c r="H4" s="1165"/>
      <c r="I4" s="1165"/>
      <c r="J4" s="1165"/>
      <c r="K4" s="270"/>
      <c r="L4" s="270"/>
      <c r="M4" s="1166"/>
      <c r="N4" s="270"/>
      <c r="O4" s="270"/>
      <c r="P4" s="270"/>
      <c r="Q4" s="270"/>
      <c r="R4" s="270"/>
      <c r="S4" s="270"/>
      <c r="T4" s="270"/>
      <c r="U4" s="270"/>
    </row>
    <row r="5" spans="1:28" ht="16.5" thickTop="1" thickBot="1">
      <c r="A5" s="89"/>
      <c r="B5" s="98"/>
      <c r="C5" s="98"/>
      <c r="D5" s="145"/>
      <c r="E5" s="204"/>
      <c r="F5" s="130"/>
      <c r="G5" s="102"/>
      <c r="H5" s="1943"/>
      <c r="I5" s="1943"/>
      <c r="J5" s="98"/>
      <c r="K5" s="98"/>
      <c r="L5" s="215"/>
      <c r="M5" s="324"/>
      <c r="N5" s="98"/>
      <c r="O5" s="1625"/>
      <c r="P5" s="1923" t="s">
        <v>1075</v>
      </c>
      <c r="Q5" s="1923"/>
      <c r="R5" s="1923"/>
      <c r="S5" s="1923"/>
      <c r="T5" s="1923"/>
      <c r="U5" s="1923"/>
    </row>
    <row r="6" spans="1:28" s="155" customFormat="1" ht="16.5" thickTop="1">
      <c r="A6" s="138"/>
      <c r="B6" s="214"/>
      <c r="C6" s="1137" t="s">
        <v>849</v>
      </c>
      <c r="D6" s="1106"/>
      <c r="E6" s="204"/>
      <c r="F6" s="130"/>
      <c r="G6" s="102"/>
      <c r="H6" s="89"/>
      <c r="I6" s="1163"/>
      <c r="J6" s="1163"/>
      <c r="K6" s="89"/>
      <c r="L6" s="1157"/>
      <c r="M6" s="1158"/>
      <c r="N6" s="212"/>
      <c r="O6" s="1626"/>
      <c r="P6" s="1924"/>
      <c r="Q6" s="1924"/>
      <c r="R6" s="1924"/>
      <c r="S6" s="1924"/>
      <c r="T6" s="1924"/>
      <c r="U6" s="1924"/>
      <c r="W6" s="1074" t="s">
        <v>418</v>
      </c>
      <c r="X6" s="1075"/>
      <c r="Z6" s="43" t="s">
        <v>299</v>
      </c>
      <c r="AA6" s="53" t="s">
        <v>809</v>
      </c>
      <c r="AB6" s="911" t="s">
        <v>756</v>
      </c>
    </row>
    <row r="7" spans="1:28" s="155" customFormat="1" ht="15.75">
      <c r="A7" s="138"/>
      <c r="B7" s="214"/>
      <c r="C7" s="1124">
        <v>0.7</v>
      </c>
      <c r="D7" s="1107" t="s">
        <v>505</v>
      </c>
      <c r="E7" s="209" t="s">
        <v>372</v>
      </c>
      <c r="F7" s="347">
        <v>4</v>
      </c>
      <c r="G7" s="252" t="s">
        <v>386</v>
      </c>
      <c r="H7" s="89"/>
      <c r="I7" s="1163" t="s">
        <v>745</v>
      </c>
      <c r="J7" s="1163"/>
      <c r="K7" s="1116"/>
      <c r="L7" s="1159"/>
      <c r="M7" s="1841"/>
      <c r="N7" s="212"/>
      <c r="O7" s="1627"/>
      <c r="P7" s="89"/>
      <c r="Q7" s="110" t="s">
        <v>1289</v>
      </c>
      <c r="R7" s="1845" t="s">
        <v>1313</v>
      </c>
      <c r="S7" s="1925"/>
      <c r="T7" s="1925"/>
      <c r="U7" s="1925"/>
      <c r="V7" s="1134"/>
      <c r="W7" s="1080">
        <f>C7</f>
        <v>0.7</v>
      </c>
      <c r="X7" s="1081" t="s">
        <v>505</v>
      </c>
      <c r="Z7" s="44" t="s">
        <v>376</v>
      </c>
      <c r="AA7" s="45" t="s">
        <v>376</v>
      </c>
      <c r="AB7" s="912">
        <v>1</v>
      </c>
    </row>
    <row r="8" spans="1:28" ht="16.5" thickBot="1">
      <c r="A8" s="89"/>
      <c r="B8" s="214"/>
      <c r="C8" s="1124">
        <v>0.3</v>
      </c>
      <c r="D8" s="1107" t="s">
        <v>513</v>
      </c>
      <c r="E8" s="209" t="s">
        <v>373</v>
      </c>
      <c r="F8" s="348">
        <v>270</v>
      </c>
      <c r="G8" s="252" t="s">
        <v>369</v>
      </c>
      <c r="H8" s="89"/>
      <c r="I8" s="1161"/>
      <c r="J8" s="1162"/>
      <c r="K8" s="1116"/>
      <c r="L8" s="1160"/>
      <c r="M8" s="1842"/>
      <c r="N8" s="1624"/>
      <c r="O8" s="1627"/>
      <c r="P8" s="89"/>
      <c r="Q8" s="110" t="s">
        <v>1060</v>
      </c>
      <c r="R8" s="1621">
        <v>0.75</v>
      </c>
      <c r="S8" s="1926" t="s">
        <v>644</v>
      </c>
      <c r="T8" s="1926"/>
      <c r="U8" s="1926"/>
      <c r="W8" s="1085">
        <f>C8</f>
        <v>0.3</v>
      </c>
      <c r="X8" s="1138" t="s">
        <v>513</v>
      </c>
      <c r="Z8" s="44" t="s">
        <v>807</v>
      </c>
      <c r="AA8" s="45" t="s">
        <v>385</v>
      </c>
      <c r="AB8" s="913">
        <v>4</v>
      </c>
    </row>
    <row r="9" spans="1:28" ht="16.5" thickTop="1">
      <c r="A9" s="89"/>
      <c r="B9" s="205"/>
      <c r="C9" s="1124">
        <v>0.72018779342723005</v>
      </c>
      <c r="D9" s="1107" t="s">
        <v>1026</v>
      </c>
      <c r="E9" s="825" t="s">
        <v>382</v>
      </c>
      <c r="F9" s="985">
        <f>F7*F8</f>
        <v>1080</v>
      </c>
      <c r="G9" s="514" t="s">
        <v>369</v>
      </c>
      <c r="H9" s="89"/>
      <c r="I9" s="332"/>
      <c r="J9" s="206" t="s">
        <v>1026</v>
      </c>
      <c r="K9" s="1116"/>
      <c r="L9" s="1160"/>
      <c r="M9" s="1840"/>
      <c r="N9" s="1622"/>
      <c r="O9" s="1627"/>
      <c r="P9" s="89"/>
      <c r="Q9" s="104"/>
      <c r="R9" s="1811">
        <f ca="1">TODAY()+MOD(MATCH(R7,{"Mandag";"Tirsdag";"Onsdag";"Torsdag";"Fredag";"Lørdag";"Søndag"},0)-WEEKDAY(TODAY(),2)+7,7)</f>
        <v>45927</v>
      </c>
      <c r="S9" s="1611"/>
      <c r="T9" s="207"/>
      <c r="U9" s="103"/>
      <c r="W9" s="1080">
        <f>IF(I9="",C9,I9)</f>
        <v>0.72018779342723005</v>
      </c>
      <c r="X9" s="1139" t="s">
        <v>419</v>
      </c>
      <c r="Z9" s="44" t="s">
        <v>806</v>
      </c>
      <c r="AA9" s="45" t="s">
        <v>385</v>
      </c>
      <c r="AB9" s="913">
        <v>3</v>
      </c>
    </row>
    <row r="10" spans="1:28" ht="15.75">
      <c r="A10" s="89"/>
      <c r="B10" s="98"/>
      <c r="C10" s="1125">
        <v>2.5352112676056339E-2</v>
      </c>
      <c r="D10" s="168" t="s">
        <v>375</v>
      </c>
      <c r="E10" s="1108"/>
      <c r="F10" s="1121"/>
      <c r="G10" s="1122"/>
      <c r="H10" s="89"/>
      <c r="I10" s="333"/>
      <c r="J10" s="206" t="s">
        <v>375</v>
      </c>
      <c r="K10" s="1116"/>
      <c r="L10" s="1117"/>
      <c r="M10" s="1961"/>
      <c r="N10" s="1120"/>
      <c r="O10" s="1627"/>
      <c r="P10" s="89"/>
      <c r="Q10" s="104"/>
      <c r="R10" s="103"/>
      <c r="S10" s="1611"/>
      <c r="T10" s="207"/>
      <c r="U10" s="103"/>
      <c r="V10" s="482"/>
      <c r="W10" s="1085">
        <f>IF(J11="frisk gær",IF(I11="",C11,I11),IF(I11="",C11,I11)/AB11)</f>
        <v>0.01</v>
      </c>
      <c r="X10" s="1138" t="str">
        <f>AA11</f>
        <v>frisk gær</v>
      </c>
      <c r="Z10" s="44" t="s">
        <v>805</v>
      </c>
      <c r="AA10" s="45" t="s">
        <v>808</v>
      </c>
      <c r="AB10" s="914">
        <v>3</v>
      </c>
    </row>
    <row r="11" spans="1:28" ht="15.75">
      <c r="A11" s="89"/>
      <c r="B11" s="98"/>
      <c r="C11" s="1125">
        <f>VLOOKUP(F12,Z14:AA16,2,FALSE)</f>
        <v>0.01</v>
      </c>
      <c r="D11" s="168" t="s">
        <v>376</v>
      </c>
      <c r="E11" s="1155" t="s">
        <v>873</v>
      </c>
      <c r="F11" s="1133" t="s">
        <v>555</v>
      </c>
      <c r="G11" s="1118"/>
      <c r="H11" s="1119"/>
      <c r="I11" s="800"/>
      <c r="J11" s="1004" t="s">
        <v>376</v>
      </c>
      <c r="K11" s="1731" t="str">
        <f>IF(J11&lt;&gt;"frisk gær",W10,"")</f>
        <v/>
      </c>
      <c r="L11" s="1117"/>
      <c r="M11" s="1961"/>
      <c r="N11" s="1623"/>
      <c r="O11" s="1627"/>
      <c r="P11" s="89"/>
      <c r="Q11" s="1607" t="s">
        <v>1089</v>
      </c>
      <c r="R11" s="1608"/>
      <c r="S11" s="1629">
        <v>1.0416666666666666E-2</v>
      </c>
      <c r="T11" s="1927" t="s">
        <v>644</v>
      </c>
      <c r="U11" s="1927"/>
      <c r="W11" s="1085">
        <f>IF(F12="&gt; 25°",IF(I10="",C10,I10)-0.005,IF(I10="",C10,I10))</f>
        <v>2.5352112676056339E-2</v>
      </c>
      <c r="X11" s="1140" t="s">
        <v>859</v>
      </c>
      <c r="Z11" s="909" t="s">
        <v>764</v>
      </c>
      <c r="AA11" s="910" t="str">
        <f>VLOOKUP(J11,Z7:AA10,2,FALSE)</f>
        <v>frisk gær</v>
      </c>
      <c r="AB11" s="921">
        <f>VLOOKUP(J11,Z7:AB10,3,FALSE)</f>
        <v>1</v>
      </c>
    </row>
    <row r="12" spans="1:28" ht="16.5" thickBot="1">
      <c r="A12" s="89"/>
      <c r="B12" s="89"/>
      <c r="C12" s="1126">
        <v>1</v>
      </c>
      <c r="D12" s="1110" t="s">
        <v>653</v>
      </c>
      <c r="E12" s="1109" t="s">
        <v>853</v>
      </c>
      <c r="F12" s="1133" t="s">
        <v>850</v>
      </c>
      <c r="G12" s="1118"/>
      <c r="H12" s="1119"/>
      <c r="I12" s="1114"/>
      <c r="J12" s="1114"/>
      <c r="K12" s="1116"/>
      <c r="L12" s="1117"/>
      <c r="M12" s="110"/>
      <c r="N12" s="1622"/>
      <c r="O12" s="1627"/>
      <c r="P12" s="89"/>
      <c r="Q12" s="475" t="s">
        <v>1091</v>
      </c>
      <c r="R12" s="1610"/>
      <c r="S12" s="1580">
        <v>0.79166666666666663</v>
      </c>
      <c r="T12" s="1031" t="s">
        <v>644</v>
      </c>
      <c r="U12" s="1031"/>
      <c r="W12" s="1083">
        <f>IF(F12="&gt; 25°",0.005,0)</f>
        <v>0</v>
      </c>
      <c r="X12" s="1141" t="s">
        <v>860</v>
      </c>
    </row>
    <row r="13" spans="1:28" ht="16.5" thickBot="1">
      <c r="A13" s="89"/>
      <c r="B13" s="89"/>
      <c r="C13" s="1111"/>
      <c r="D13" s="1112"/>
      <c r="E13" s="1113"/>
      <c r="F13" s="104"/>
      <c r="G13" s="89"/>
      <c r="H13" s="1114"/>
      <c r="I13" s="1114"/>
      <c r="J13" s="1114"/>
      <c r="K13" s="1114"/>
      <c r="L13" s="1115"/>
      <c r="M13" s="110"/>
      <c r="N13" s="984"/>
      <c r="O13" s="1627"/>
      <c r="P13" s="89"/>
      <c r="Q13" s="475"/>
      <c r="R13" s="1609"/>
      <c r="S13" s="1609"/>
      <c r="T13" s="1031"/>
      <c r="U13" s="1031"/>
      <c r="W13" s="287"/>
      <c r="X13" s="288"/>
      <c r="Z13" s="1132" t="s">
        <v>854</v>
      </c>
      <c r="AA13" s="1149"/>
      <c r="AB13" s="1152" t="s">
        <v>872</v>
      </c>
    </row>
    <row r="14" spans="1:28" ht="21.75" customHeight="1" thickTop="1">
      <c r="A14" s="89"/>
      <c r="B14" s="1046"/>
      <c r="C14" s="1960" t="str">
        <f>D1</f>
        <v>Sebastians biga</v>
      </c>
      <c r="D14" s="1960"/>
      <c r="E14" s="1960"/>
      <c r="F14" s="1960"/>
      <c r="G14" s="1838"/>
      <c r="H14" s="1047"/>
      <c r="I14" s="1047"/>
      <c r="J14" s="1047"/>
      <c r="K14" s="9"/>
      <c r="L14" s="9"/>
      <c r="M14" s="25"/>
      <c r="N14" s="10"/>
      <c r="O14" s="1627"/>
      <c r="P14" s="89"/>
      <c r="Q14" s="1607" t="str">
        <f ca="1">Q23&amp;"  - Tilberedning"</f>
        <v>Dag 2  - Tilberedning</v>
      </c>
      <c r="R14" s="1608"/>
      <c r="S14" s="1628">
        <v>1.3888888888888888E-2</v>
      </c>
      <c r="T14" s="1031" t="s">
        <v>644</v>
      </c>
      <c r="U14" s="1031"/>
      <c r="Z14" s="1127" t="s">
        <v>852</v>
      </c>
      <c r="AA14" s="1150">
        <v>6.9953051643192486E-3</v>
      </c>
      <c r="AB14" s="1153">
        <v>2</v>
      </c>
    </row>
    <row r="15" spans="1:28" ht="15" customHeight="1">
      <c r="A15" s="89"/>
      <c r="B15" s="1048"/>
      <c r="C15" s="1931"/>
      <c r="D15" s="1931"/>
      <c r="E15" s="1931"/>
      <c r="F15" s="1931"/>
      <c r="G15" s="1049"/>
      <c r="N15" s="6"/>
      <c r="O15" s="1627"/>
      <c r="P15" s="89"/>
      <c r="Q15" s="475" t="str">
        <f>IF(F11="48 timer","Punkt udgår!","Hviletid pkt. 8 (3 t.)")</f>
        <v>Hviletid pkt. 8 (3 t.)</v>
      </c>
      <c r="R15" s="104"/>
      <c r="S15" s="1579">
        <v>0.125</v>
      </c>
      <c r="T15" s="1031" t="s">
        <v>644</v>
      </c>
      <c r="U15" s="1600"/>
      <c r="V15">
        <f>1869.65/6</f>
        <v>311.60833333333335</v>
      </c>
      <c r="Z15" s="1090" t="s">
        <v>850</v>
      </c>
      <c r="AA15" s="1151">
        <v>0.01</v>
      </c>
      <c r="AB15" s="1153">
        <v>3</v>
      </c>
    </row>
    <row r="16" spans="1:28" ht="15.75" customHeight="1">
      <c r="A16" s="89"/>
      <c r="B16" s="1048"/>
      <c r="C16" s="14" t="s">
        <v>878</v>
      </c>
      <c r="D16" s="982"/>
      <c r="E16" s="982"/>
      <c r="F16" s="982"/>
      <c r="G16" s="5"/>
      <c r="H16" s="1919" t="s">
        <v>1048</v>
      </c>
      <c r="I16" s="1920"/>
      <c r="J16" s="1920"/>
      <c r="K16" s="1920"/>
      <c r="L16" s="1920"/>
      <c r="M16" s="1921"/>
      <c r="N16" s="6"/>
      <c r="O16" s="1627"/>
      <c r="P16" s="89"/>
      <c r="Q16" s="89"/>
      <c r="R16" s="89"/>
      <c r="S16" s="89"/>
      <c r="T16" s="89"/>
      <c r="U16" s="89"/>
      <c r="Z16" s="1130" t="s">
        <v>851</v>
      </c>
      <c r="AA16" s="1094">
        <v>1.1079812206572771E-2</v>
      </c>
      <c r="AB16" s="1154">
        <v>4</v>
      </c>
    </row>
    <row r="17" spans="1:24" ht="15.75" customHeight="1">
      <c r="A17" s="89"/>
      <c r="B17" s="1048"/>
      <c r="C17" s="1387" t="s">
        <v>876</v>
      </c>
      <c r="G17" s="5"/>
      <c r="H17" s="1916" t="str">
        <f>F7&amp;" pizzaer a "&amp;ROUND(F8,0)&amp;" g.  -   "&amp;ROUND(W9*100,0)&amp;"% hydrering   -   "&amp;F11&amp;"s version   -   Rum temp. "&amp;F12</f>
        <v>4 pizzaer a 270 g.  -   72% hydrering   -   24 timers version   -   Rum temp. 15-25°</v>
      </c>
      <c r="I17" s="1917"/>
      <c r="J17" s="1917"/>
      <c r="K17" s="1917"/>
      <c r="L17" s="1917"/>
      <c r="M17" s="1918"/>
      <c r="N17" s="1051"/>
      <c r="O17" s="1627"/>
      <c r="P17" s="89"/>
      <c r="Q17" s="1607" t="str">
        <f>IF(F11="48 timer",Q24&amp;" - 48 timers version","")</f>
        <v/>
      </c>
      <c r="R17" s="1608"/>
      <c r="S17" s="1608"/>
      <c r="T17" s="1031"/>
      <c r="U17" s="89"/>
    </row>
    <row r="18" spans="1:24" ht="15.75" customHeight="1">
      <c r="A18" s="89"/>
      <c r="B18" s="1048"/>
      <c r="C18" s="1501" t="s">
        <v>877</v>
      </c>
      <c r="G18" s="5"/>
      <c r="H18" s="1059"/>
      <c r="I18" s="5"/>
      <c r="J18" s="5"/>
      <c r="K18" s="5"/>
      <c r="L18" s="5"/>
      <c r="M18" s="1520"/>
      <c r="N18" s="1051"/>
      <c r="O18" s="1627"/>
      <c r="P18" s="89"/>
      <c r="Q18" s="475" t="str">
        <f>IF(F11="48 timer","Køl i 24 timer (pkt. 8)","")</f>
        <v/>
      </c>
      <c r="R18" s="134"/>
      <c r="S18" s="1843" t="str">
        <f>IF(F11="48 timer",1,"")</f>
        <v/>
      </c>
      <c r="T18" s="1031" t="str">
        <f>IF(F11="48 ti,er","tt:mm","")</f>
        <v/>
      </c>
      <c r="U18" s="89"/>
    </row>
    <row r="19" spans="1:24" ht="15.75" customHeight="1">
      <c r="A19" s="89"/>
      <c r="B19" s="1048"/>
      <c r="G19" s="5"/>
      <c r="H19" s="1059"/>
      <c r="I19" s="1402" t="s">
        <v>648</v>
      </c>
      <c r="J19" s="1402"/>
      <c r="K19" s="1050"/>
      <c r="L19" s="1500" t="s">
        <v>201</v>
      </c>
      <c r="M19" s="1506"/>
      <c r="N19" s="1051"/>
      <c r="O19" s="1627"/>
      <c r="P19" s="89"/>
      <c r="Q19" s="134"/>
      <c r="R19" s="134"/>
      <c r="S19" s="93"/>
      <c r="T19" s="89"/>
      <c r="U19" s="89"/>
      <c r="W19" t="s">
        <v>858</v>
      </c>
      <c r="X19">
        <f>745.5+319.5</f>
        <v>1065</v>
      </c>
    </row>
    <row r="20" spans="1:24" ht="15.75" customHeight="1" thickBot="1">
      <c r="A20" s="89"/>
      <c r="B20" s="1483" t="s">
        <v>746</v>
      </c>
      <c r="C20" t="s">
        <v>865</v>
      </c>
      <c r="E20" s="5"/>
      <c r="F20" s="5"/>
      <c r="G20" s="5"/>
      <c r="H20" s="1059"/>
      <c r="I20" s="1502">
        <f>F9/SUM(W7:W12)*W7</f>
        <v>430.63675019388654</v>
      </c>
      <c r="J20" s="292" t="str">
        <f>"g "&amp;D7</f>
        <v>g Caputo Nuvola Super</v>
      </c>
      <c r="K20" s="226"/>
      <c r="L20" s="1405">
        <f>F9*(W9/SUM(W7:W12))-I22</f>
        <v>166.15675661220013</v>
      </c>
      <c r="M20" s="1406" t="s">
        <v>874</v>
      </c>
      <c r="N20" s="1051"/>
      <c r="O20" s="1627"/>
      <c r="P20" s="89"/>
      <c r="Q20" s="1601" t="s">
        <v>1073</v>
      </c>
      <c r="R20" s="1602"/>
      <c r="S20" s="1603">
        <f>SUM(S11:S14)+IF(F11="48 timer",1+2/24,S15)</f>
        <v>0.9409722222222221</v>
      </c>
      <c r="T20" s="1604" t="s">
        <v>644</v>
      </c>
      <c r="U20" s="89"/>
    </row>
    <row r="21" spans="1:24" ht="15.75" customHeight="1">
      <c r="A21" s="89"/>
      <c r="B21" s="1483" t="s">
        <v>746</v>
      </c>
      <c r="C21" s="5" t="s">
        <v>863</v>
      </c>
      <c r="E21" s="5"/>
      <c r="F21" s="5"/>
      <c r="G21" s="5"/>
      <c r="H21" s="1059"/>
      <c r="I21" s="1147">
        <f>F9/SUM(W7:W12)*W8</f>
        <v>184.55860722595136</v>
      </c>
      <c r="J21" s="292" t="str">
        <f>"g "&amp;D8</f>
        <v>g Caputo Pizzaria</v>
      </c>
      <c r="K21" s="226"/>
      <c r="L21" s="1405">
        <f>(F9/SUM(W7:W12)*W11)</f>
        <v>15.596502019094483</v>
      </c>
      <c r="M21" s="1406" t="s">
        <v>29</v>
      </c>
      <c r="N21" s="1051"/>
      <c r="O21" s="1627"/>
      <c r="P21" s="89"/>
      <c r="Q21" s="103"/>
      <c r="R21" s="1605"/>
      <c r="S21" s="1605"/>
      <c r="T21" s="1606"/>
      <c r="U21" s="89"/>
      <c r="W21" s="1" t="s">
        <v>653</v>
      </c>
      <c r="X21" s="329" t="s">
        <v>855</v>
      </c>
    </row>
    <row r="22" spans="1:24" ht="15.75" customHeight="1">
      <c r="A22" s="89"/>
      <c r="B22" s="1483"/>
      <c r="C22" s="5" t="s">
        <v>864</v>
      </c>
      <c r="E22" s="5"/>
      <c r="F22" s="5"/>
      <c r="G22" s="5"/>
      <c r="H22" s="1059"/>
      <c r="I22" s="1502">
        <f>I20*0.643</f>
        <v>276.89943037466907</v>
      </c>
      <c r="J22" s="292" t="str">
        <f>IF(AA11="tørgær","g vand (27°)","g vand (kold)")</f>
        <v>g vand (kold)</v>
      </c>
      <c r="K22" s="226"/>
      <c r="L22" s="1405">
        <f>SUM(I20:I24)</f>
        <v>898.24674136870544</v>
      </c>
      <c r="M22" s="1406" t="s">
        <v>652</v>
      </c>
      <c r="N22" s="1051"/>
      <c r="O22" s="1627"/>
      <c r="P22" s="89"/>
      <c r="Q22" s="1551" t="s">
        <v>0</v>
      </c>
      <c r="R22" s="1922">
        <f ca="1">IF(R9="","?",R9-S20+R8)</f>
        <v>45926.809027777781</v>
      </c>
      <c r="S22" s="1922"/>
      <c r="T22" s="1922"/>
      <c r="U22" s="89"/>
      <c r="W22">
        <v>745.5</v>
      </c>
      <c r="X22">
        <v>288</v>
      </c>
    </row>
    <row r="23" spans="1:24" ht="15.75" customHeight="1">
      <c r="A23" s="89"/>
      <c r="B23" s="1483" t="s">
        <v>746</v>
      </c>
      <c r="C23" s="5" t="s">
        <v>866</v>
      </c>
      <c r="E23" s="5"/>
      <c r="F23" s="5"/>
      <c r="G23" s="5"/>
      <c r="H23" s="1059"/>
      <c r="I23" s="1466">
        <f>(I20+I21)*W10</f>
        <v>6.1519535741983793</v>
      </c>
      <c r="J23" s="292" t="str">
        <f>"g "&amp;AA11</f>
        <v>g frisk gær</v>
      </c>
      <c r="K23" s="226"/>
      <c r="L23" s="105"/>
      <c r="M23" s="1507"/>
      <c r="N23" s="1051"/>
      <c r="O23" s="1627"/>
      <c r="P23" s="89"/>
      <c r="Q23" s="1614" t="str">
        <f ca="1">"Dag "&amp;IF(R9="","?",_xlfn.DAYS(R23,R22)+1)</f>
        <v>Dag 2</v>
      </c>
      <c r="R23" s="1950">
        <f ca="1">IF(R9="","?",R22+SUM(S11:S12))</f>
        <v>45927.611111111117</v>
      </c>
      <c r="S23" s="1950"/>
      <c r="T23" s="1950"/>
      <c r="U23" s="89"/>
      <c r="W23">
        <v>319.5</v>
      </c>
      <c r="X23">
        <v>27</v>
      </c>
    </row>
    <row r="24" spans="1:24" ht="15.75" customHeight="1">
      <c r="A24" s="89"/>
      <c r="B24" s="1048"/>
      <c r="C24" s="11"/>
      <c r="D24" s="851"/>
      <c r="E24" s="5"/>
      <c r="F24" s="5"/>
      <c r="G24" s="5"/>
      <c r="H24" s="1059"/>
      <c r="I24" s="1503" t="str">
        <f>IF(F12="&gt; 25°",(F9/SUM(W7:W12)*W12),"-")</f>
        <v>-</v>
      </c>
      <c r="J24" s="292" t="str">
        <f>IF(F12="&gt; 25°","g salt","-")</f>
        <v>-</v>
      </c>
      <c r="K24" s="226"/>
      <c r="L24" s="226"/>
      <c r="M24" s="1508"/>
      <c r="N24" s="1051"/>
      <c r="O24" s="1627"/>
      <c r="P24" s="89"/>
      <c r="Q24" s="1614" t="str">
        <f>IF(F11="48 timer","Dag "&amp;IF(R9="","?",_xlfn.DAYS(R24,R23)+2),"")</f>
        <v/>
      </c>
      <c r="R24" s="1950" t="str">
        <f>IF(F11="48 timer",R22+SUM(S11:S14)+S18,"")</f>
        <v/>
      </c>
      <c r="S24" s="1950"/>
      <c r="T24" s="1950"/>
      <c r="U24" s="89"/>
      <c r="W24">
        <v>479</v>
      </c>
    </row>
    <row r="25" spans="1:24" ht="15.75" customHeight="1">
      <c r="A25" s="89"/>
      <c r="B25" s="1048"/>
      <c r="C25" s="5"/>
      <c r="D25" s="5"/>
      <c r="E25" s="5"/>
      <c r="F25" s="5"/>
      <c r="G25" s="5"/>
      <c r="H25" s="1439"/>
      <c r="I25" s="229"/>
      <c r="J25" s="229"/>
      <c r="K25" s="229"/>
      <c r="L25" s="229"/>
      <c r="M25" s="1509"/>
      <c r="N25" s="1051"/>
      <c r="O25" s="1627"/>
      <c r="P25" s="1618"/>
      <c r="Q25" s="1617"/>
      <c r="R25" s="1618"/>
      <c r="S25" s="1618"/>
      <c r="T25" s="1618"/>
      <c r="U25" s="1618"/>
      <c r="W25" s="1094">
        <v>10.65</v>
      </c>
      <c r="X25" s="1094"/>
    </row>
    <row r="26" spans="1:24" ht="15.75" customHeight="1">
      <c r="A26" s="89"/>
      <c r="B26" s="1048"/>
      <c r="C26" s="5"/>
      <c r="D26" s="5"/>
      <c r="E26" s="5"/>
      <c r="F26" s="5"/>
      <c r="G26" s="5"/>
      <c r="H26" s="5"/>
      <c r="I26" s="1052"/>
      <c r="J26" s="1052"/>
      <c r="K26" s="1052"/>
      <c r="L26" s="1052"/>
      <c r="M26" s="1053"/>
      <c r="N26" s="1051"/>
      <c r="O26" s="1627"/>
      <c r="P26" s="89"/>
      <c r="Q26" s="787"/>
      <c r="R26" s="89"/>
      <c r="S26" s="89"/>
      <c r="T26" s="89"/>
      <c r="U26" s="89"/>
      <c r="W26">
        <f>SUM(W22:W25)</f>
        <v>1554.65</v>
      </c>
      <c r="X26">
        <f>SUM(X22:X25)</f>
        <v>315</v>
      </c>
    </row>
    <row r="27" spans="1:24" ht="15.75" customHeight="1">
      <c r="A27" s="89"/>
      <c r="B27" s="1479" t="s">
        <v>1035</v>
      </c>
      <c r="C27" s="1413" t="str">
        <f>IF(M8="","Dag 1","Biga")</f>
        <v>Dag 1</v>
      </c>
      <c r="D27" s="1414"/>
      <c r="E27" s="1957" t="str">
        <f>IF(M8="","Biga",E37-(F12-0.25)/24)</f>
        <v>Biga</v>
      </c>
      <c r="F27" s="1957"/>
      <c r="G27" s="1958" t="str">
        <f>IF(M8="","","Start ca. kl.")</f>
        <v/>
      </c>
      <c r="H27" s="1958"/>
      <c r="I27" s="901" t="str">
        <f>IF(I37="","",M8-(F12+1.25)/24)</f>
        <v/>
      </c>
      <c r="J27" s="1055"/>
      <c r="K27" s="1804"/>
      <c r="L27" s="1785" t="str">
        <f ca="1">TEXT(R22,"dddd")</f>
        <v>fredag</v>
      </c>
      <c r="M27" s="1798">
        <f ca="1">IF($R$8="","",R22)</f>
        <v>45926.809027777781</v>
      </c>
      <c r="N27" s="6"/>
      <c r="O27" s="1627"/>
      <c r="P27" s="89"/>
      <c r="Q27" s="787"/>
      <c r="R27" s="89"/>
      <c r="S27" s="89"/>
      <c r="T27" s="89"/>
      <c r="U27" s="89"/>
    </row>
    <row r="28" spans="1:24" ht="15.75" customHeight="1">
      <c r="A28" s="89"/>
      <c r="B28" s="1057"/>
      <c r="C28" s="902"/>
      <c r="D28" s="425"/>
      <c r="E28" s="425"/>
      <c r="F28" s="425"/>
      <c r="G28" s="425"/>
      <c r="H28" s="425"/>
      <c r="I28" s="425"/>
      <c r="J28" s="425"/>
      <c r="K28" s="425"/>
      <c r="L28" s="425"/>
      <c r="M28" s="1025"/>
      <c r="N28" s="6"/>
      <c r="O28" s="1627"/>
      <c r="P28" s="89"/>
      <c r="Q28" s="184" t="s">
        <v>358</v>
      </c>
      <c r="R28" s="183"/>
      <c r="S28" s="183"/>
      <c r="T28" s="89"/>
      <c r="U28" s="89"/>
      <c r="W28" t="s">
        <v>856</v>
      </c>
      <c r="X28">
        <f>W26+X26</f>
        <v>1869.65</v>
      </c>
    </row>
    <row r="29" spans="1:24" ht="15.75" customHeight="1">
      <c r="A29" s="89"/>
      <c r="B29" s="1398" t="s">
        <v>1034</v>
      </c>
      <c r="C29" s="708">
        <v>1</v>
      </c>
      <c r="D29" s="425" t="str">
        <f>IF(F12="&gt; 25°","Opløs gæren i vandet. Tilføj efterfølgende salt og rør det ud.","Opløs gøren i vandet")</f>
        <v>Opløs gøren i vandet</v>
      </c>
      <c r="E29" s="425"/>
      <c r="F29" s="425"/>
      <c r="G29" s="425"/>
      <c r="H29" s="425"/>
      <c r="I29" s="425"/>
      <c r="J29" s="425"/>
      <c r="K29" s="425"/>
      <c r="L29" s="1365" t="str">
        <f>ROUND(I22,0)&amp;" g vand"&amp;", "&amp;ROUND(I23,2)&amp;" g. gær"&amp;IF(F12="&gt; 25°",", "&amp;ROUND(I24,0)&amp;" g salt","")</f>
        <v>277 g vand, 6,15 g. gær</v>
      </c>
      <c r="M29" s="1143"/>
      <c r="N29" s="6"/>
      <c r="O29" s="1627"/>
      <c r="P29" s="89"/>
      <c r="Q29" s="134" t="s">
        <v>1311</v>
      </c>
      <c r="R29" s="97"/>
      <c r="S29" s="89"/>
      <c r="T29" s="89"/>
      <c r="U29" s="89"/>
    </row>
    <row r="30" spans="1:24" ht="15.75" customHeight="1">
      <c r="A30" s="89"/>
      <c r="B30" s="1048"/>
      <c r="C30" s="708"/>
      <c r="D30" s="425"/>
      <c r="E30" s="425"/>
      <c r="F30" s="425"/>
      <c r="G30" s="425"/>
      <c r="H30" s="425"/>
      <c r="I30" s="425"/>
      <c r="J30" s="425"/>
      <c r="K30" s="425"/>
      <c r="L30" s="1504"/>
      <c r="N30" s="6"/>
      <c r="O30" s="1627"/>
      <c r="P30" s="89"/>
      <c r="Q30" s="134" t="s">
        <v>1312</v>
      </c>
      <c r="R30" s="97"/>
      <c r="S30" s="89"/>
      <c r="T30" s="89"/>
      <c r="U30" s="89"/>
    </row>
    <row r="31" spans="1:24" ht="15.75" customHeight="1">
      <c r="A31" s="89"/>
      <c r="B31" s="1398" t="s">
        <v>1034</v>
      </c>
      <c r="C31" s="940">
        <v>2</v>
      </c>
      <c r="D31" s="425" t="s">
        <v>862</v>
      </c>
      <c r="E31" s="425"/>
      <c r="F31" s="425"/>
      <c r="G31" s="425"/>
      <c r="H31" s="425"/>
      <c r="I31" s="425"/>
      <c r="J31" s="425"/>
      <c r="K31" s="425"/>
      <c r="L31" s="1366" t="str">
        <f>ROUND(I20,0)&amp;" g. Caputo Nuvola Super og "</f>
        <v xml:space="preserve">431 g. Caputo Nuvola Super og </v>
      </c>
      <c r="M31" s="1135"/>
      <c r="N31" s="6"/>
      <c r="O31" s="1627"/>
      <c r="P31" s="89"/>
      <c r="Q31" s="134" t="s">
        <v>359</v>
      </c>
      <c r="R31" s="89"/>
      <c r="S31" s="89"/>
      <c r="T31" s="89"/>
      <c r="U31" s="89"/>
      <c r="W31" s="156"/>
    </row>
    <row r="32" spans="1:24" ht="15.75" customHeight="1">
      <c r="A32" s="89"/>
      <c r="B32" s="1048"/>
      <c r="D32" s="425" t="s">
        <v>861</v>
      </c>
      <c r="H32" s="425"/>
      <c r="I32" s="425"/>
      <c r="J32" s="425"/>
      <c r="K32" s="425"/>
      <c r="L32" s="1367" t="str">
        <f>ROUND(I21,0)&amp;" g. Caputo Pizzaria"</f>
        <v>185 g. Caputo Pizzaria</v>
      </c>
      <c r="M32" s="1136"/>
      <c r="N32" s="6"/>
      <c r="O32" s="1627"/>
      <c r="P32" s="89"/>
      <c r="Q32" s="98" t="s">
        <v>360</v>
      </c>
      <c r="R32" s="89"/>
      <c r="S32" s="89"/>
      <c r="T32" s="89"/>
      <c r="U32" s="89"/>
    </row>
    <row r="33" spans="1:24" ht="15.75" customHeight="1">
      <c r="A33" s="89"/>
      <c r="B33" s="1048"/>
      <c r="C33" s="708"/>
      <c r="D33" s="425"/>
      <c r="E33" s="425"/>
      <c r="F33" s="425"/>
      <c r="G33" s="425"/>
      <c r="H33" s="425"/>
      <c r="I33" s="425"/>
      <c r="J33" s="425"/>
      <c r="K33" s="425"/>
      <c r="L33" s="1063"/>
      <c r="M33" s="1064"/>
      <c r="N33" s="6"/>
      <c r="O33" s="1627"/>
      <c r="P33" s="89"/>
      <c r="Q33" s="134" t="s">
        <v>354</v>
      </c>
      <c r="R33" s="97"/>
      <c r="S33" s="89"/>
      <c r="T33" s="89"/>
      <c r="U33" s="89"/>
    </row>
    <row r="34" spans="1:24" ht="15.75" customHeight="1">
      <c r="A34" s="89"/>
      <c r="B34" s="1398" t="s">
        <v>1034</v>
      </c>
      <c r="C34" s="708">
        <v>3</v>
      </c>
      <c r="D34" s="425" t="s">
        <v>871</v>
      </c>
      <c r="E34" s="425"/>
      <c r="F34" s="425"/>
      <c r="G34" s="425"/>
      <c r="H34" s="897"/>
      <c r="I34" s="425"/>
      <c r="J34" s="425"/>
      <c r="K34" s="425"/>
      <c r="L34" s="1065"/>
      <c r="M34" s="1064"/>
      <c r="N34" s="6"/>
      <c r="O34" s="1627"/>
      <c r="P34" s="89"/>
      <c r="Q34" s="134" t="s">
        <v>356</v>
      </c>
      <c r="R34" s="97"/>
      <c r="S34" s="89"/>
      <c r="T34" s="89"/>
      <c r="U34" s="89"/>
      <c r="X34" s="1123"/>
    </row>
    <row r="35" spans="1:24" ht="15.75" customHeight="1">
      <c r="A35" s="89"/>
      <c r="B35" s="1048"/>
      <c r="N35" s="45"/>
      <c r="O35" s="1627"/>
      <c r="P35" s="89"/>
      <c r="Q35" s="134"/>
      <c r="R35" s="97"/>
      <c r="S35" s="89"/>
      <c r="T35" s="89"/>
      <c r="U35" s="89"/>
    </row>
    <row r="36" spans="1:24" ht="15.75" customHeight="1">
      <c r="A36" s="89"/>
      <c r="B36" s="1048"/>
      <c r="N36" s="45"/>
      <c r="O36" s="1627"/>
      <c r="P36" s="89"/>
      <c r="Q36" s="180" t="s">
        <v>361</v>
      </c>
      <c r="R36" s="175"/>
      <c r="S36" s="89"/>
      <c r="T36" s="89"/>
      <c r="U36" s="89"/>
    </row>
    <row r="37" spans="1:24" ht="15.75" customHeight="1">
      <c r="A37" s="89"/>
      <c r="B37" s="1505"/>
      <c r="C37" s="1413" t="str">
        <f>IF(M8="","Dag 2","Hoveddej")</f>
        <v>Dag 2</v>
      </c>
      <c r="D37" s="1414"/>
      <c r="E37" s="899" t="str">
        <f>IF(M8="","Hoveddej",M8-(#REF!+1.25+0.25)/24)</f>
        <v>Hoveddej</v>
      </c>
      <c r="F37" s="1056"/>
      <c r="G37" s="1054" t="str">
        <f>IF(M8="","","Start ca. kl.")</f>
        <v/>
      </c>
      <c r="H37" s="1054"/>
      <c r="I37" s="901" t="str">
        <f>IF(M8="","",M8-(#REF!+1.25+0.25)/24)</f>
        <v/>
      </c>
      <c r="J37" s="536"/>
      <c r="K37" s="536"/>
      <c r="L37" s="1785" t="str">
        <f ca="1">TEXT(R23,"dddd")</f>
        <v>lørdag</v>
      </c>
      <c r="M37" s="1804">
        <f ca="1">IF($R$8="","",R23)</f>
        <v>45927.611111111117</v>
      </c>
      <c r="N37" s="6"/>
      <c r="O37" s="1627"/>
      <c r="P37" s="89"/>
      <c r="Q37" s="134" t="s">
        <v>338</v>
      </c>
      <c r="R37" s="89"/>
      <c r="S37" s="341">
        <v>20</v>
      </c>
      <c r="T37" s="89"/>
      <c r="U37" s="89"/>
    </row>
    <row r="38" spans="1:24" ht="15.75" customHeight="1">
      <c r="A38" s="89"/>
      <c r="B38" s="1048"/>
      <c r="C38" s="708"/>
      <c r="D38" s="425"/>
      <c r="E38" s="902"/>
      <c r="F38" s="902"/>
      <c r="G38" s="425"/>
      <c r="H38" s="425"/>
      <c r="I38" s="425"/>
      <c r="J38" s="425"/>
      <c r="K38" s="425"/>
      <c r="L38" s="425"/>
      <c r="M38" s="1025"/>
      <c r="N38" s="6"/>
      <c r="O38" s="1627"/>
      <c r="P38" s="89"/>
      <c r="Q38" s="152" t="s">
        <v>339</v>
      </c>
      <c r="R38" s="89"/>
      <c r="S38" s="342"/>
      <c r="T38" s="138"/>
      <c r="U38" s="89"/>
    </row>
    <row r="39" spans="1:24" ht="15.75" customHeight="1">
      <c r="A39" s="89"/>
      <c r="B39" s="1398" t="s">
        <v>1034</v>
      </c>
      <c r="C39" s="708">
        <v>4</v>
      </c>
      <c r="D39" s="425" t="s">
        <v>868</v>
      </c>
      <c r="E39" s="425"/>
      <c r="F39" s="425"/>
      <c r="G39" s="425"/>
      <c r="H39" s="425"/>
      <c r="I39" s="425"/>
      <c r="J39" s="425"/>
      <c r="K39" s="425"/>
      <c r="L39" s="1142" t="str">
        <f>ROUND(L20,0)&amp;" "&amp;M20</f>
        <v>166 g vand (kold)</v>
      </c>
      <c r="M39" s="1156"/>
      <c r="N39" s="6"/>
      <c r="O39" s="1627"/>
      <c r="P39" s="89"/>
      <c r="Q39" s="152" t="s">
        <v>340</v>
      </c>
      <c r="R39" s="89"/>
      <c r="S39" s="342"/>
      <c r="T39" s="138"/>
      <c r="U39" s="89"/>
    </row>
    <row r="40" spans="1:24" ht="15.75" customHeight="1">
      <c r="A40" s="89"/>
      <c r="B40" s="1048"/>
      <c r="C40" s="902"/>
      <c r="D40" s="893" t="s">
        <v>867</v>
      </c>
      <c r="E40" s="425"/>
      <c r="F40" s="425"/>
      <c r="G40" s="425"/>
      <c r="H40" s="425"/>
      <c r="I40" s="425"/>
      <c r="J40" s="425"/>
      <c r="K40" s="425"/>
      <c r="L40" s="425"/>
      <c r="M40" s="1025"/>
      <c r="N40" s="6"/>
      <c r="O40" s="1627"/>
      <c r="P40" s="89"/>
      <c r="Q40" s="148" t="s">
        <v>341</v>
      </c>
      <c r="R40" s="186"/>
      <c r="S40" s="343"/>
      <c r="T40" s="138"/>
      <c r="U40" s="89"/>
    </row>
    <row r="41" spans="1:24" ht="15.75" customHeight="1">
      <c r="A41" s="89"/>
      <c r="B41" s="1048"/>
      <c r="N41" s="45"/>
      <c r="O41" s="1627"/>
      <c r="P41" s="89"/>
      <c r="Q41" s="152" t="s">
        <v>342</v>
      </c>
      <c r="R41" s="89"/>
      <c r="S41" s="1598" t="str">
        <f>IF(OR(S37="",S38=""),"",(S37*2)-S38-S39-(S40*2)&amp;"°")</f>
        <v/>
      </c>
      <c r="T41" s="138"/>
      <c r="U41" s="89"/>
    </row>
    <row r="42" spans="1:24" ht="15.75" customHeight="1">
      <c r="A42" s="89"/>
      <c r="B42" s="1398" t="s">
        <v>1034</v>
      </c>
      <c r="C42" s="708">
        <v>5</v>
      </c>
      <c r="D42" s="425" t="s">
        <v>869</v>
      </c>
      <c r="E42" s="425"/>
      <c r="F42" s="425"/>
      <c r="G42" s="425"/>
      <c r="H42" s="425"/>
      <c r="I42" s="425"/>
      <c r="J42" s="425"/>
      <c r="K42" s="425"/>
      <c r="L42" s="1142" t="str">
        <f>ROUND(L21,0)&amp;" g. salt"</f>
        <v>16 g. salt</v>
      </c>
      <c r="M42" s="1143"/>
      <c r="N42" s="6"/>
      <c r="O42" s="1627"/>
      <c r="P42" s="89"/>
      <c r="Q42" s="159" t="s">
        <v>343</v>
      </c>
      <c r="R42" s="323"/>
      <c r="S42" s="323"/>
      <c r="T42" s="138"/>
      <c r="U42" s="89"/>
    </row>
    <row r="43" spans="1:24" ht="15.75" customHeight="1">
      <c r="A43" s="89"/>
      <c r="B43" s="1048"/>
      <c r="C43" s="902"/>
      <c r="D43" s="425"/>
      <c r="E43" s="425"/>
      <c r="F43" s="425"/>
      <c r="G43" s="425"/>
      <c r="H43" s="425"/>
      <c r="I43" s="425"/>
      <c r="J43" s="425"/>
      <c r="K43" s="425"/>
      <c r="L43" s="425"/>
      <c r="M43" s="1025"/>
      <c r="N43" s="6"/>
      <c r="O43" s="1627"/>
      <c r="P43" s="89"/>
      <c r="Q43" s="181" t="s">
        <v>362</v>
      </c>
      <c r="R43" s="181"/>
      <c r="S43" s="183"/>
      <c r="T43" s="138"/>
      <c r="U43" s="89"/>
    </row>
    <row r="44" spans="1:24" ht="15.75" customHeight="1">
      <c r="A44" s="89"/>
      <c r="B44" s="1398" t="s">
        <v>1034</v>
      </c>
      <c r="C44" s="708">
        <v>6</v>
      </c>
      <c r="D44" s="425" t="s">
        <v>870</v>
      </c>
      <c r="E44" s="425"/>
      <c r="F44" s="425"/>
      <c r="G44" s="425"/>
      <c r="H44" s="425"/>
      <c r="I44" s="425"/>
      <c r="J44" s="425"/>
      <c r="K44" s="425"/>
      <c r="L44" s="425"/>
      <c r="M44" s="1025"/>
      <c r="N44" s="6"/>
      <c r="O44" s="1627"/>
      <c r="P44" s="89"/>
      <c r="Q44" s="134" t="s">
        <v>364</v>
      </c>
      <c r="R44" s="98"/>
      <c r="S44" s="98"/>
      <c r="T44" s="138"/>
      <c r="U44" s="89"/>
    </row>
    <row r="45" spans="1:24" ht="15.75" customHeight="1">
      <c r="A45" s="89"/>
      <c r="B45" s="1048"/>
      <c r="C45" s="708"/>
      <c r="D45" s="893" t="s">
        <v>875</v>
      </c>
      <c r="E45" s="425"/>
      <c r="F45" s="425"/>
      <c r="G45" s="425"/>
      <c r="H45" s="425"/>
      <c r="I45" s="425"/>
      <c r="J45" s="425"/>
      <c r="K45" s="425"/>
      <c r="L45" s="425"/>
      <c r="M45" s="1025"/>
      <c r="N45" s="6"/>
      <c r="O45" s="1627"/>
      <c r="P45" s="89"/>
      <c r="Q45" s="134" t="s">
        <v>363</v>
      </c>
      <c r="R45" s="98"/>
      <c r="S45" s="98"/>
      <c r="T45" s="138"/>
      <c r="U45" s="89"/>
    </row>
    <row r="46" spans="1:24" ht="15.75" customHeight="1">
      <c r="A46" s="89"/>
      <c r="B46" s="1048"/>
      <c r="C46" s="902"/>
      <c r="D46" s="425"/>
      <c r="E46" s="425"/>
      <c r="F46" s="425"/>
      <c r="G46" s="425"/>
      <c r="H46" s="425"/>
      <c r="I46" s="425"/>
      <c r="J46" s="425"/>
      <c r="K46" s="425"/>
      <c r="L46" s="425"/>
      <c r="M46" s="1025"/>
      <c r="N46" s="6"/>
      <c r="O46" s="1627"/>
      <c r="P46" s="89"/>
      <c r="Q46" s="98"/>
      <c r="R46" s="93"/>
      <c r="S46" s="89"/>
      <c r="T46" s="138"/>
      <c r="U46" s="89"/>
    </row>
    <row r="47" spans="1:24" ht="15.75" customHeight="1">
      <c r="A47" s="89"/>
      <c r="B47" s="1398" t="s">
        <v>1034</v>
      </c>
      <c r="C47" s="940">
        <v>7</v>
      </c>
      <c r="D47" s="425" t="str">
        <f>"Dejen virkes op til "&amp;F7&amp;" boller a "&amp;ROUND(F8,0)&amp;" g, som placers i en lukket hævekasse"</f>
        <v>Dejen virkes op til 4 boller a 270 g, som placers i en lukket hævekasse</v>
      </c>
      <c r="E47" s="425"/>
      <c r="F47" s="425"/>
      <c r="G47" s="425"/>
      <c r="H47" s="425"/>
      <c r="I47" s="425"/>
      <c r="J47" s="425"/>
      <c r="K47" s="1058"/>
      <c r="N47" s="6"/>
      <c r="O47" s="1627"/>
      <c r="P47" s="89"/>
      <c r="Q47" s="89"/>
      <c r="R47" s="134"/>
      <c r="S47" s="93"/>
      <c r="T47" s="89"/>
      <c r="U47" s="89"/>
    </row>
    <row r="48" spans="1:24" ht="15.75" customHeight="1">
      <c r="A48" s="89"/>
      <c r="B48" s="1048"/>
      <c r="C48" s="902"/>
      <c r="D48" s="425"/>
      <c r="E48" s="425"/>
      <c r="F48" s="425"/>
      <c r="G48" s="425"/>
      <c r="H48" s="425"/>
      <c r="I48" s="425"/>
      <c r="J48" s="425"/>
      <c r="K48" s="425"/>
      <c r="L48" s="425"/>
      <c r="M48" s="1025"/>
      <c r="N48" s="6"/>
      <c r="O48" s="1627"/>
      <c r="P48" s="89"/>
      <c r="Q48" s="89"/>
      <c r="R48" s="134"/>
      <c r="S48" s="93"/>
      <c r="T48" s="89"/>
      <c r="U48" s="89"/>
    </row>
    <row r="49" spans="1:21" ht="15.75" customHeight="1">
      <c r="A49" s="89"/>
      <c r="B49" s="1398" t="s">
        <v>1034</v>
      </c>
      <c r="C49" s="940">
        <v>8</v>
      </c>
      <c r="D49" s="425" t="str">
        <f>IF(R8&lt;&gt;"",IF(F11="24 timer","Efter "&amp;VLOOKUP(F12,Z14:AB16,3,FALSE)&amp;" timer ved stuetemperatur er bollerne klar.","Placer bollerne på køl i en hævekasse i ca. 24 timer."),"Placer dem i en lukket kasse (hævekasse) og sæt dem på køl i ca. "&amp;TEXT(S15,"[t]")&amp;" timer.")</f>
        <v>Efter 3 timer ved stuetemperatur er bollerne klar.</v>
      </c>
      <c r="E49" s="425"/>
      <c r="F49" s="425"/>
      <c r="G49" s="425"/>
      <c r="H49" s="425"/>
      <c r="I49" s="425"/>
      <c r="J49" s="425"/>
      <c r="K49" s="425"/>
      <c r="L49" s="425"/>
      <c r="M49" s="1025"/>
      <c r="N49" s="6"/>
      <c r="O49" s="1627"/>
      <c r="P49" s="89"/>
      <c r="Q49" s="89"/>
      <c r="R49" s="134"/>
      <c r="S49" s="93"/>
      <c r="T49" s="89"/>
      <c r="U49" s="89"/>
    </row>
    <row r="50" spans="1:21" ht="15.75" customHeight="1">
      <c r="A50" s="89"/>
      <c r="B50" s="1048"/>
      <c r="C50" s="902"/>
      <c r="D50" s="425"/>
      <c r="E50" s="425"/>
      <c r="F50" s="425"/>
      <c r="G50" s="425"/>
      <c r="H50" s="425"/>
      <c r="I50" s="425"/>
      <c r="J50" s="425"/>
      <c r="K50" s="425"/>
      <c r="L50" s="425"/>
      <c r="M50" s="1025"/>
      <c r="N50" s="6"/>
      <c r="O50" s="1627"/>
      <c r="P50" s="89"/>
      <c r="Q50" s="89"/>
      <c r="R50" s="134"/>
      <c r="S50" s="93"/>
      <c r="T50" s="89"/>
      <c r="U50" s="89"/>
    </row>
    <row r="51" spans="1:21" ht="15.75" customHeight="1">
      <c r="A51" s="89"/>
      <c r="B51" s="1505"/>
      <c r="C51" s="937" t="str">
        <f>IF(F11="24 timer","",IF(M8="","Dag 3","Spisetid"))</f>
        <v/>
      </c>
      <c r="D51" s="3"/>
      <c r="E51" s="1056" t="str">
        <f>IF(F11="24 timer","",IF(M8="","Spisetid",M8))</f>
        <v/>
      </c>
      <c r="F51" s="1056"/>
      <c r="G51" s="1054" t="str">
        <f>IF(M8="","","Start ca. kl.")</f>
        <v/>
      </c>
      <c r="H51" s="1054"/>
      <c r="I51" s="810" t="str">
        <f>IF(M8="","",IF(M8="","",TEXT(M8-0.25/24,"tt:mm"))&amp;" (eller "&amp;TEXT(M8-2.25/24,"tt:mm")&amp;" hvis de skal tempereres først)")</f>
        <v/>
      </c>
      <c r="J51" s="810"/>
      <c r="K51" s="810"/>
      <c r="L51" s="1785" t="str">
        <f>TEXT(R24,"dddd")</f>
        <v/>
      </c>
      <c r="M51" s="1839" t="str">
        <f>R24</f>
        <v/>
      </c>
      <c r="N51" s="6"/>
      <c r="O51" s="1627"/>
      <c r="P51" s="89"/>
      <c r="Q51" s="89"/>
      <c r="R51" s="134"/>
      <c r="S51" s="93"/>
      <c r="T51" s="89"/>
      <c r="U51" s="89"/>
    </row>
    <row r="52" spans="1:21" ht="15.75" customHeight="1">
      <c r="A52" s="89"/>
      <c r="B52" s="1048"/>
      <c r="C52" s="902"/>
      <c r="D52" s="425"/>
      <c r="E52" s="425"/>
      <c r="F52" s="425"/>
      <c r="G52" s="425"/>
      <c r="H52" s="425"/>
      <c r="I52" s="425"/>
      <c r="J52" s="425"/>
      <c r="K52" s="425"/>
      <c r="L52" s="425"/>
      <c r="M52" s="1025"/>
      <c r="N52" s="6"/>
      <c r="O52" s="1627"/>
      <c r="P52" s="89"/>
      <c r="Q52" s="98"/>
      <c r="R52" s="134"/>
      <c r="S52" s="93"/>
      <c r="T52" s="89"/>
      <c r="U52" s="89"/>
    </row>
    <row r="53" spans="1:21" ht="15.75" customHeight="1">
      <c r="A53" s="89"/>
      <c r="B53" s="1048"/>
      <c r="C53" s="708" t="str">
        <f>IF(F11="24 timer","","9")</f>
        <v/>
      </c>
      <c r="D53" s="896" t="str">
        <f>IF(F11="24 timer","","Tag bollerne ud ca. 2 timer inden de skal formes.")</f>
        <v/>
      </c>
      <c r="E53" s="896"/>
      <c r="F53" s="896"/>
      <c r="G53" s="896"/>
      <c r="H53" s="896"/>
      <c r="I53" s="896"/>
      <c r="J53" s="896"/>
      <c r="K53" s="896"/>
      <c r="L53" s="896"/>
      <c r="M53" s="425"/>
      <c r="N53" s="6"/>
      <c r="O53" s="1627"/>
      <c r="P53" s="89"/>
      <c r="Q53" s="98"/>
      <c r="R53" s="134"/>
      <c r="S53" s="93"/>
      <c r="T53" s="89"/>
      <c r="U53" s="89"/>
    </row>
    <row r="54" spans="1:21" ht="15.75" customHeight="1">
      <c r="A54" s="89"/>
      <c r="B54" s="1505"/>
      <c r="C54" s="3"/>
      <c r="D54" s="3"/>
      <c r="E54" s="3"/>
      <c r="F54" s="3"/>
      <c r="G54" s="3"/>
      <c r="H54" s="3"/>
      <c r="I54" s="3"/>
      <c r="J54" s="3"/>
      <c r="K54" s="3"/>
      <c r="L54" s="1062" t="s">
        <v>523</v>
      </c>
      <c r="M54" s="1062"/>
      <c r="N54" s="1060"/>
      <c r="O54" s="1627"/>
      <c r="P54" s="89"/>
      <c r="Q54" s="98"/>
      <c r="R54" s="134"/>
      <c r="S54" s="93"/>
      <c r="T54" s="89"/>
      <c r="U54" s="89"/>
    </row>
    <row r="55" spans="1:21" ht="15.75" customHeight="1">
      <c r="A55" s="89"/>
      <c r="B55" s="89"/>
      <c r="C55" s="89"/>
      <c r="D55" s="89"/>
      <c r="E55" s="89"/>
      <c r="F55" s="89"/>
      <c r="G55" s="89"/>
      <c r="H55" s="89"/>
      <c r="I55" s="89"/>
      <c r="J55" s="89"/>
      <c r="K55" s="89"/>
      <c r="L55" s="89"/>
      <c r="M55" s="90"/>
      <c r="N55" s="89"/>
      <c r="O55" s="1627"/>
      <c r="P55" s="89"/>
      <c r="Q55" s="98"/>
      <c r="R55" s="134"/>
      <c r="S55" s="93"/>
      <c r="T55" s="89"/>
      <c r="U55" s="89"/>
    </row>
    <row r="56" spans="1:21" ht="15.75" customHeight="1">
      <c r="A56" s="89"/>
      <c r="B56" s="89"/>
      <c r="C56" s="89"/>
      <c r="D56" s="89"/>
      <c r="E56" s="89"/>
      <c r="F56" s="89"/>
      <c r="G56" s="89"/>
      <c r="H56" s="89"/>
      <c r="I56" s="89"/>
      <c r="J56" s="89"/>
      <c r="K56" s="89"/>
      <c r="L56" s="89"/>
      <c r="M56" s="90"/>
      <c r="N56" s="89"/>
      <c r="O56" s="1627"/>
      <c r="P56" s="89"/>
      <c r="Q56" s="98"/>
      <c r="R56" s="134"/>
      <c r="S56" s="93"/>
      <c r="T56" s="89"/>
      <c r="U56" s="89"/>
    </row>
    <row r="57" spans="1:21">
      <c r="A57" s="89"/>
      <c r="B57" s="89"/>
      <c r="C57" s="89"/>
      <c r="D57" s="89"/>
      <c r="E57" s="89"/>
      <c r="F57" s="89"/>
      <c r="G57" s="89"/>
      <c r="H57" s="89"/>
      <c r="I57" s="89"/>
      <c r="J57" s="89"/>
      <c r="K57" s="89"/>
      <c r="L57" s="89"/>
      <c r="M57" s="90"/>
      <c r="N57" s="89"/>
      <c r="O57" s="1627"/>
      <c r="P57" s="89"/>
      <c r="Q57" s="1599"/>
      <c r="R57" s="134"/>
      <c r="S57" s="93"/>
      <c r="T57" s="89"/>
      <c r="U57" s="89"/>
    </row>
    <row r="58" spans="1:21" s="105" customFormat="1" ht="15.75">
      <c r="A58" s="103"/>
      <c r="B58" s="103"/>
      <c r="C58" s="103"/>
      <c r="D58" s="103"/>
      <c r="E58" s="103"/>
      <c r="F58" s="103"/>
      <c r="G58" s="103"/>
      <c r="H58" s="103"/>
      <c r="I58" s="103"/>
      <c r="J58" s="103"/>
      <c r="K58" s="103"/>
      <c r="L58" s="103"/>
      <c r="M58" s="1148"/>
      <c r="N58" s="103"/>
      <c r="O58" s="1627"/>
      <c r="P58" s="89"/>
      <c r="Q58" s="1599"/>
      <c r="R58" s="134"/>
      <c r="S58" s="93"/>
      <c r="T58" s="89"/>
      <c r="U58" s="89"/>
    </row>
    <row r="59" spans="1:21">
      <c r="A59" s="89"/>
      <c r="B59" s="89"/>
      <c r="C59" s="89"/>
      <c r="D59" s="89"/>
      <c r="E59" s="89"/>
      <c r="F59" s="89"/>
      <c r="G59" s="89"/>
      <c r="H59" s="89"/>
      <c r="I59" s="89"/>
      <c r="J59" s="89"/>
      <c r="K59" s="89"/>
      <c r="L59" s="89"/>
      <c r="M59" s="90"/>
      <c r="N59" s="89"/>
      <c r="O59" s="1627"/>
      <c r="P59" s="89"/>
      <c r="Q59" s="1599"/>
      <c r="R59" s="134"/>
      <c r="S59" s="93"/>
      <c r="T59" s="89"/>
      <c r="U59" s="89"/>
    </row>
    <row r="60" spans="1:21">
      <c r="A60" s="89"/>
      <c r="B60" s="89"/>
      <c r="C60" s="89"/>
      <c r="D60" s="89"/>
      <c r="E60" s="89"/>
      <c r="F60" s="89"/>
      <c r="G60" s="89"/>
      <c r="H60" s="89"/>
      <c r="I60" s="89"/>
      <c r="J60" s="89"/>
      <c r="K60" s="89"/>
      <c r="L60" s="89"/>
      <c r="M60" s="90"/>
      <c r="N60" s="89"/>
      <c r="O60" s="1627"/>
      <c r="P60" s="89"/>
      <c r="Q60" s="1599"/>
      <c r="R60" s="134"/>
      <c r="S60" s="93"/>
      <c r="T60" s="89"/>
      <c r="U60" s="89"/>
    </row>
    <row r="61" spans="1:21">
      <c r="A61" s="89"/>
      <c r="B61" s="89"/>
      <c r="C61" s="89"/>
      <c r="D61" s="89"/>
      <c r="E61" s="89"/>
      <c r="F61" s="89"/>
      <c r="G61" s="89"/>
      <c r="H61" s="89"/>
      <c r="I61" s="89"/>
      <c r="J61" s="89"/>
      <c r="K61" s="89"/>
      <c r="L61" s="89"/>
      <c r="M61" s="90"/>
      <c r="N61" s="89"/>
      <c r="O61" s="1627"/>
      <c r="P61" s="89"/>
      <c r="Q61" s="1599"/>
      <c r="R61" s="134"/>
      <c r="S61" s="93"/>
      <c r="T61" s="89"/>
      <c r="U61" s="89"/>
    </row>
    <row r="62" spans="1:21">
      <c r="A62" s="89"/>
      <c r="B62" s="89"/>
      <c r="C62" s="89"/>
      <c r="D62" s="89"/>
      <c r="E62" s="89"/>
      <c r="F62" s="89"/>
      <c r="G62" s="89"/>
      <c r="H62" s="89"/>
      <c r="I62" s="89"/>
      <c r="J62" s="89"/>
      <c r="K62" s="89"/>
      <c r="L62" s="89"/>
      <c r="M62" s="90"/>
      <c r="N62" s="89"/>
      <c r="O62" s="1627"/>
      <c r="P62" s="89"/>
      <c r="Q62" s="1599"/>
      <c r="R62" s="134"/>
      <c r="S62" s="93"/>
      <c r="T62" s="89"/>
      <c r="U62" s="89"/>
    </row>
    <row r="63" spans="1:21">
      <c r="A63" s="89"/>
      <c r="B63" s="89"/>
      <c r="C63" s="89"/>
      <c r="D63" s="89"/>
      <c r="E63" s="89"/>
      <c r="F63" s="89"/>
      <c r="G63" s="89"/>
      <c r="H63" s="89"/>
      <c r="I63" s="89"/>
      <c r="J63" s="89"/>
      <c r="K63" s="89"/>
      <c r="L63" s="89"/>
      <c r="M63" s="90"/>
      <c r="N63" s="89"/>
      <c r="O63" s="1627"/>
      <c r="P63" s="89"/>
      <c r="Q63" s="1599"/>
      <c r="R63" s="134"/>
      <c r="S63" s="93"/>
      <c r="T63" s="89"/>
      <c r="U63" s="89"/>
    </row>
    <row r="64" spans="1:21">
      <c r="A64" s="89"/>
      <c r="B64" s="89"/>
      <c r="C64" s="89"/>
      <c r="D64" s="89"/>
      <c r="E64" s="89"/>
      <c r="F64" s="89"/>
      <c r="G64" s="89"/>
      <c r="H64" s="89"/>
      <c r="I64" s="89"/>
      <c r="J64" s="89"/>
      <c r="K64" s="89"/>
      <c r="L64" s="89"/>
      <c r="M64" s="90"/>
      <c r="N64" s="89"/>
      <c r="O64" s="1627"/>
      <c r="P64" s="89"/>
      <c r="Q64" s="1599"/>
      <c r="R64" s="134"/>
      <c r="S64" s="93"/>
      <c r="T64" s="89"/>
      <c r="U64" s="89"/>
    </row>
    <row r="65" spans="1:21">
      <c r="A65" s="89"/>
      <c r="B65" s="89"/>
      <c r="C65" s="89"/>
      <c r="D65" s="89"/>
      <c r="E65" s="89"/>
      <c r="F65" s="89"/>
      <c r="G65" s="89"/>
      <c r="H65" s="89"/>
      <c r="I65" s="89"/>
      <c r="J65" s="89"/>
      <c r="K65" s="89"/>
      <c r="L65" s="89"/>
      <c r="M65" s="90"/>
      <c r="N65" s="89"/>
      <c r="O65" s="1627"/>
      <c r="P65" s="89"/>
      <c r="Q65" s="1599"/>
      <c r="R65" s="134"/>
      <c r="S65" s="93"/>
      <c r="T65" s="89"/>
      <c r="U65" s="89"/>
    </row>
    <row r="66" spans="1:21">
      <c r="A66" s="89"/>
      <c r="B66" s="89"/>
      <c r="C66" s="89"/>
      <c r="D66" s="89"/>
      <c r="E66" s="89"/>
      <c r="F66" s="89"/>
      <c r="G66" s="89"/>
      <c r="H66" s="89"/>
      <c r="I66" s="89"/>
      <c r="J66" s="89"/>
      <c r="K66" s="89"/>
      <c r="L66" s="89"/>
      <c r="M66" s="90"/>
      <c r="N66" s="89"/>
      <c r="O66" s="1627"/>
      <c r="P66" s="89"/>
      <c r="Q66" s="1599"/>
      <c r="R66" s="134"/>
      <c r="S66" s="93"/>
      <c r="T66" s="89"/>
      <c r="U66" s="89"/>
    </row>
    <row r="67" spans="1:21">
      <c r="A67" s="89"/>
      <c r="B67" s="89"/>
      <c r="C67" s="89"/>
      <c r="D67" s="89"/>
      <c r="E67" s="89"/>
      <c r="F67" s="89"/>
      <c r="G67" s="89"/>
      <c r="H67" s="89"/>
      <c r="I67" s="89"/>
      <c r="J67" s="89"/>
      <c r="K67" s="89"/>
      <c r="L67" s="89"/>
      <c r="M67" s="90"/>
      <c r="N67" s="89"/>
      <c r="O67" s="1627"/>
      <c r="P67" s="89"/>
      <c r="Q67" s="1599"/>
      <c r="R67" s="134"/>
      <c r="S67" s="93"/>
      <c r="T67" s="89"/>
      <c r="U67" s="89"/>
    </row>
    <row r="68" spans="1:21">
      <c r="A68" s="89"/>
      <c r="B68" s="89"/>
      <c r="C68" s="89"/>
      <c r="D68" s="89"/>
      <c r="E68" s="89"/>
      <c r="F68" s="89"/>
      <c r="G68" s="89"/>
      <c r="H68" s="89"/>
      <c r="I68" s="89"/>
      <c r="J68" s="89"/>
      <c r="K68" s="89"/>
      <c r="L68" s="89"/>
      <c r="M68" s="90"/>
      <c r="N68" s="89"/>
      <c r="O68" s="1627"/>
      <c r="P68" s="89"/>
      <c r="Q68" s="1599"/>
      <c r="R68" s="134"/>
      <c r="S68" s="93"/>
      <c r="T68" s="89"/>
      <c r="U68" s="89"/>
    </row>
    <row r="69" spans="1:21">
      <c r="A69" s="89"/>
      <c r="B69" s="89"/>
      <c r="C69" s="89"/>
      <c r="D69" s="89"/>
      <c r="E69" s="89"/>
      <c r="F69" s="89"/>
      <c r="G69" s="89"/>
      <c r="H69" s="89"/>
      <c r="I69" s="89"/>
      <c r="J69" s="89"/>
      <c r="K69" s="89"/>
      <c r="L69" s="89"/>
      <c r="M69" s="90"/>
      <c r="N69" s="89"/>
      <c r="O69" s="1627"/>
      <c r="P69" s="89"/>
      <c r="Q69" s="1599"/>
      <c r="R69" s="134"/>
      <c r="S69" s="93"/>
      <c r="T69" s="89"/>
      <c r="U69" s="89"/>
    </row>
    <row r="70" spans="1:21">
      <c r="A70" s="89"/>
      <c r="B70" s="89"/>
      <c r="C70" s="89"/>
      <c r="D70" s="89"/>
      <c r="E70" s="89"/>
      <c r="F70" s="89"/>
      <c r="G70" s="89"/>
      <c r="H70" s="89"/>
      <c r="I70" s="89"/>
      <c r="J70" s="89"/>
      <c r="K70" s="89"/>
      <c r="L70" s="89"/>
      <c r="M70" s="90"/>
      <c r="N70" s="89"/>
      <c r="O70" s="1627"/>
      <c r="P70" s="89"/>
      <c r="Q70" s="1599"/>
      <c r="R70" s="134"/>
      <c r="S70" s="93"/>
      <c r="T70" s="89"/>
      <c r="U70" s="89"/>
    </row>
    <row r="71" spans="1:21" hidden="1">
      <c r="A71" s="89"/>
      <c r="B71" s="89"/>
      <c r="C71" s="89"/>
      <c r="D71" s="89"/>
      <c r="E71" s="89"/>
      <c r="F71" s="89"/>
      <c r="G71" s="89"/>
      <c r="H71" s="89"/>
      <c r="I71" s="89"/>
      <c r="J71" s="89"/>
      <c r="K71" s="89"/>
      <c r="L71" s="89"/>
      <c r="M71" s="90"/>
      <c r="N71" s="89"/>
      <c r="O71" s="89"/>
      <c r="P71" s="607"/>
      <c r="Q71" s="610"/>
      <c r="R71" s="610"/>
      <c r="S71" s="611"/>
      <c r="T71" s="607"/>
      <c r="U71" s="607"/>
    </row>
    <row r="72" spans="1:21" ht="14.25" hidden="1" customHeight="1"/>
  </sheetData>
  <sheetProtection algorithmName="SHA-512" hashValue="mujqquifX6aAIsDXlXx8YGS6xfoA7doLfpbaaiHfQYtTkgBWUuz4QDGvvrw4k86LLkR8RSiRkAqah0PB1XQkUA==" saltValue="2G7uK9SrnJVA76L4bX7XMA==" spinCount="100000" sheet="1" objects="1" scenarios="1" selectLockedCells="1"/>
  <mergeCells count="15">
    <mergeCell ref="R22:T22"/>
    <mergeCell ref="R24:T24"/>
    <mergeCell ref="R23:T23"/>
    <mergeCell ref="P5:U6"/>
    <mergeCell ref="S7:U7"/>
    <mergeCell ref="S8:U8"/>
    <mergeCell ref="T11:U11"/>
    <mergeCell ref="E27:F27"/>
    <mergeCell ref="G27:H27"/>
    <mergeCell ref="H16:M16"/>
    <mergeCell ref="D1:J3"/>
    <mergeCell ref="C14:F15"/>
    <mergeCell ref="H17:M17"/>
    <mergeCell ref="H5:I5"/>
    <mergeCell ref="M10:M11"/>
  </mergeCells>
  <conditionalFormatting sqref="E27">
    <cfRule type="expression" dxfId="7" priority="2">
      <formula>$E$27&lt;NOW()</formula>
    </cfRule>
  </conditionalFormatting>
  <dataValidations count="8">
    <dataValidation allowBlank="1" promptTitle="Forslag" prompt="Ca. 4% tørret surdej._x000a_F.eks. Grand Farine Levain eller Caputo Criscito._x000a_" sqref="I11" xr:uid="{0A523C30-D110-4DA4-8107-EC06695307B1}"/>
    <dataValidation allowBlank="1" showInputMessage="1" showErrorMessage="1" promptTitle="Anbefaling" prompt="24-27°_x000a_Dejtemperaturen har meget stor betydning for det endelieg resultat." sqref="S37" xr:uid="{0D04DFE9-A49F-4916-A9B5-002C645CB6C9}"/>
    <dataValidation allowBlank="1" sqref="L6:L7 B11 M8:M9 I11" xr:uid="{AE4F4353-1E1F-4866-9976-4C80153EFD22}"/>
    <dataValidation type="list" allowBlank="1" showInputMessage="1" showErrorMessage="1" sqref="F11" xr:uid="{6C30EF3D-3A58-4C45-A77C-A27B9B225680}">
      <formula1>"24 timer,48 timer"</formula1>
    </dataValidation>
    <dataValidation type="list" allowBlank="1" sqref="R8" xr:uid="{38F5BFC5-511B-4809-9390-C9CAC5169B47}">
      <formula1>"11:30,12:00,12:30,13:00,17:00,17:30,18:00,18:30,19:00,19:30"</formula1>
    </dataValidation>
    <dataValidation type="list" showInputMessage="1" showErrorMessage="1" sqref="J11" xr:uid="{8635E249-6E5E-435B-B82E-56BCA97275C4}">
      <formula1>$Z$7:$Z$9</formula1>
    </dataValidation>
    <dataValidation type="list" errorStyle="information" showErrorMessage="1" errorTitle="test titel" error="test" sqref="F12" xr:uid="{7F989AD4-AA4F-460E-BFAC-62E811A1107C}">
      <formula1>$Z$14:$Z$16</formula1>
    </dataValidation>
    <dataValidation type="list" allowBlank="1" showErrorMessage="1" sqref="R7" xr:uid="{4A6255B2-F66C-416B-A4B2-F4A7B2841796}">
      <formula1>"Mandag,Tirsdag,Onsdag,Torsdag,Fredag,Lørdag,Søndag"</formula1>
    </dataValidation>
  </dataValidations>
  <pageMargins left="0.19685039370078741" right="0.19685039370078741" top="0.74803149606299213" bottom="0.74803149606299213" header="0.31496062992125984" footer="0.31496062992125984"/>
  <pageSetup paperSize="9" scale="7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5E6-BAAC-434E-9A21-AEC02F472D48}">
  <sheetPr codeName="Ark30">
    <tabColor rgb="FFFFFFCC"/>
    <pageSetUpPr fitToPage="1"/>
  </sheetPr>
  <dimension ref="A1:AD75"/>
  <sheetViews>
    <sheetView showGridLines="0" showRowColHeaders="0" zoomScaleNormal="100" workbookViewId="0">
      <pane ySplit="4" topLeftCell="A5" activePane="bottomLeft" state="frozen"/>
      <selection activeCell="C2" sqref="C2:I3"/>
      <selection pane="bottomLeft" activeCell="F8" sqref="F8"/>
    </sheetView>
  </sheetViews>
  <sheetFormatPr defaultColWidth="0" defaultRowHeight="15" zeroHeight="1"/>
  <cols>
    <col min="1" max="1" width="3.5703125" customWidth="1"/>
    <col min="2" max="3" width="7.140625" customWidth="1"/>
    <col min="4" max="4" width="12" customWidth="1"/>
    <col min="5" max="5" width="9.5703125" customWidth="1"/>
    <col min="6" max="6" width="6.85546875" customWidth="1"/>
    <col min="7" max="7" width="3.140625" customWidth="1"/>
    <col min="8" max="8" width="7.140625" customWidth="1"/>
    <col min="9" max="9" width="8.28515625" customWidth="1"/>
    <col min="10" max="10" width="6" customWidth="1"/>
    <col min="11" max="11" width="8.7109375" customWidth="1"/>
    <col min="12" max="12" width="13.85546875" customWidth="1"/>
    <col min="13" max="13" width="17.28515625" customWidth="1"/>
    <col min="14" max="14" width="6.28515625" customWidth="1"/>
    <col min="15" max="16" width="3.140625" customWidth="1"/>
    <col min="17" max="17" width="2.28515625" customWidth="1"/>
    <col min="18" max="18" width="2.140625" customWidth="1"/>
    <col min="19" max="19" width="8" customWidth="1"/>
    <col min="20" max="20" width="20.85546875" customWidth="1"/>
    <col min="21" max="21" width="8.140625" customWidth="1"/>
    <col min="22" max="22" width="3.5703125" customWidth="1"/>
    <col min="23" max="23" width="6.5703125" customWidth="1"/>
    <col min="24" max="24" width="8.7109375" hidden="1" customWidth="1"/>
    <col min="25" max="25" width="11" hidden="1" customWidth="1"/>
    <col min="26" max="26" width="15.7109375" hidden="1" customWidth="1"/>
    <col min="27" max="27" width="8.7109375" hidden="1" customWidth="1"/>
    <col min="28" max="28" width="14.85546875" hidden="1" customWidth="1"/>
    <col min="29" max="29" width="10.42578125" hidden="1" customWidth="1"/>
    <col min="30" max="16384" width="8.7109375" hidden="1"/>
  </cols>
  <sheetData>
    <row r="1" spans="1:30" ht="15" customHeight="1">
      <c r="A1" s="217"/>
      <c r="B1" s="217"/>
      <c r="C1" s="218"/>
      <c r="D1" s="218"/>
      <c r="E1" s="218"/>
      <c r="F1" s="218"/>
      <c r="G1" s="218"/>
      <c r="H1" s="218"/>
      <c r="I1" s="218"/>
      <c r="J1" s="218"/>
      <c r="K1" s="218"/>
      <c r="L1" s="218"/>
      <c r="M1" s="217"/>
      <c r="N1" s="826"/>
      <c r="O1" s="826"/>
      <c r="P1" s="826"/>
      <c r="Q1" s="826"/>
      <c r="R1" s="826"/>
      <c r="S1" s="826"/>
      <c r="T1" s="826"/>
      <c r="U1" s="217"/>
      <c r="V1" s="217"/>
      <c r="W1" s="217"/>
    </row>
    <row r="2" spans="1:30" ht="15" customHeight="1">
      <c r="A2" s="217"/>
      <c r="B2" s="217"/>
      <c r="C2" s="1909" t="s">
        <v>946</v>
      </c>
      <c r="D2" s="1909"/>
      <c r="E2" s="1909"/>
      <c r="F2" s="1909"/>
      <c r="G2" s="1909"/>
      <c r="H2" s="1909"/>
      <c r="I2" s="1909"/>
      <c r="J2" s="1909"/>
      <c r="K2" s="1909"/>
      <c r="L2" s="1909"/>
      <c r="M2" s="1909"/>
      <c r="N2" s="826"/>
      <c r="O2" s="826"/>
      <c r="P2" s="826"/>
      <c r="Q2" s="826"/>
      <c r="R2" s="826"/>
      <c r="S2" s="826"/>
      <c r="T2" s="826"/>
      <c r="U2" s="217"/>
      <c r="V2" s="217"/>
      <c r="W2" s="217"/>
    </row>
    <row r="3" spans="1:30" ht="15" customHeight="1">
      <c r="A3" s="217"/>
      <c r="B3" s="217"/>
      <c r="C3" s="1909"/>
      <c r="D3" s="1909"/>
      <c r="E3" s="1909"/>
      <c r="F3" s="1909"/>
      <c r="G3" s="1909"/>
      <c r="H3" s="1909"/>
      <c r="I3" s="1909"/>
      <c r="J3" s="1909"/>
      <c r="K3" s="1909"/>
      <c r="L3" s="1909"/>
      <c r="M3" s="1909"/>
      <c r="N3" s="826"/>
      <c r="O3" s="826"/>
      <c r="P3" s="826"/>
      <c r="Q3" s="826"/>
      <c r="R3" s="826"/>
      <c r="S3" s="826"/>
      <c r="T3" s="826"/>
      <c r="U3" s="217"/>
      <c r="V3" s="217"/>
      <c r="W3" s="217"/>
    </row>
    <row r="4" spans="1:30" ht="15" customHeight="1" thickBot="1">
      <c r="A4" s="253"/>
      <c r="B4" s="253"/>
      <c r="C4" s="1962" t="s">
        <v>947</v>
      </c>
      <c r="D4" s="1962"/>
      <c r="E4" s="1962"/>
      <c r="F4" s="254"/>
      <c r="G4" s="254"/>
      <c r="H4" s="254"/>
      <c r="I4" s="254"/>
      <c r="J4" s="254"/>
      <c r="K4" s="254"/>
      <c r="L4" s="254"/>
      <c r="M4" s="253"/>
      <c r="N4" s="827"/>
      <c r="O4" s="827"/>
      <c r="P4" s="827"/>
      <c r="Q4" s="827"/>
      <c r="R4" s="827"/>
      <c r="S4" s="827"/>
      <c r="T4" s="827"/>
      <c r="U4" s="253"/>
      <c r="V4" s="253"/>
      <c r="W4" s="253"/>
    </row>
    <row r="5" spans="1:30" ht="16.5" customHeight="1" thickTop="1">
      <c r="A5" s="104"/>
      <c r="B5" s="104"/>
      <c r="C5" s="104"/>
      <c r="D5" s="104"/>
      <c r="E5" s="104"/>
      <c r="F5" s="89"/>
      <c r="G5" s="89"/>
      <c r="H5" s="89"/>
      <c r="I5" s="104"/>
      <c r="J5" s="104"/>
      <c r="K5" s="104"/>
      <c r="L5" s="1963" t="s">
        <v>979</v>
      </c>
      <c r="M5" s="1963"/>
      <c r="N5" s="1963"/>
      <c r="O5" s="1963"/>
      <c r="P5" s="1964"/>
      <c r="Q5" s="185"/>
      <c r="R5" s="1923" t="s">
        <v>1075</v>
      </c>
      <c r="S5" s="1923"/>
      <c r="T5" s="1923"/>
      <c r="U5" s="1923"/>
      <c r="V5" s="1923"/>
      <c r="W5" s="1923"/>
    </row>
    <row r="6" spans="1:30" ht="8.25" customHeight="1" thickBot="1">
      <c r="A6" s="104"/>
      <c r="B6" s="104"/>
      <c r="C6" s="106"/>
      <c r="D6" s="106"/>
      <c r="E6" s="104"/>
      <c r="F6" s="89"/>
      <c r="G6" s="89"/>
      <c r="H6" s="89"/>
      <c r="I6" s="104"/>
      <c r="J6" s="104"/>
      <c r="K6" s="104"/>
      <c r="L6" s="1965"/>
      <c r="M6" s="1965"/>
      <c r="N6" s="1965"/>
      <c r="O6" s="1965"/>
      <c r="P6" s="1966"/>
      <c r="Q6" s="185"/>
      <c r="R6" s="1924"/>
      <c r="S6" s="1924"/>
      <c r="T6" s="1924"/>
      <c r="U6" s="1924"/>
      <c r="V6" s="1924"/>
      <c r="W6" s="1924"/>
    </row>
    <row r="7" spans="1:30" ht="15.75">
      <c r="A7" s="104"/>
      <c r="B7" s="166" t="s">
        <v>948</v>
      </c>
      <c r="C7" s="163"/>
      <c r="D7" s="196"/>
      <c r="E7" s="89"/>
      <c r="F7" s="89"/>
      <c r="G7" s="89"/>
      <c r="H7" s="89"/>
      <c r="I7" s="1956" t="s">
        <v>745</v>
      </c>
      <c r="J7" s="1956"/>
      <c r="K7" s="1956"/>
      <c r="L7" s="1965"/>
      <c r="M7" s="1965"/>
      <c r="N7" s="1965"/>
      <c r="O7" s="1965"/>
      <c r="P7" s="1966"/>
      <c r="Q7" s="185"/>
      <c r="R7" s="89"/>
      <c r="S7" s="110" t="s">
        <v>1289</v>
      </c>
      <c r="T7" s="1845" t="s">
        <v>1290</v>
      </c>
      <c r="U7" s="1925"/>
      <c r="V7" s="1925"/>
      <c r="W7" s="1925"/>
      <c r="Y7" s="915" t="s">
        <v>418</v>
      </c>
      <c r="Z7" s="916"/>
      <c r="AB7" s="43" t="s">
        <v>299</v>
      </c>
      <c r="AC7" s="53" t="s">
        <v>809</v>
      </c>
      <c r="AD7" s="911" t="s">
        <v>756</v>
      </c>
    </row>
    <row r="8" spans="1:30" ht="15.75" customHeight="1">
      <c r="A8" s="104"/>
      <c r="B8" s="197">
        <v>1</v>
      </c>
      <c r="C8" s="162" t="s">
        <v>420</v>
      </c>
      <c r="D8" s="200"/>
      <c r="E8" s="113" t="s">
        <v>372</v>
      </c>
      <c r="F8" s="337">
        <v>6</v>
      </c>
      <c r="G8" s="273" t="s">
        <v>386</v>
      </c>
      <c r="H8" s="89"/>
      <c r="I8" s="1956"/>
      <c r="J8" s="1956"/>
      <c r="K8" s="1956"/>
      <c r="L8" s="146"/>
      <c r="M8" s="146"/>
      <c r="N8" s="146"/>
      <c r="O8" s="146"/>
      <c r="P8" s="1229"/>
      <c r="Q8" s="185"/>
      <c r="R8" s="89"/>
      <c r="S8" s="110" t="s">
        <v>1060</v>
      </c>
      <c r="T8" s="1621">
        <v>0.72916666666666663</v>
      </c>
      <c r="U8" s="1926" t="s">
        <v>644</v>
      </c>
      <c r="V8" s="1926"/>
      <c r="W8" s="1926"/>
      <c r="X8" s="482">
        <f>Y8</f>
        <v>1</v>
      </c>
      <c r="Y8" s="917">
        <v>1</v>
      </c>
      <c r="Z8" s="918" t="str">
        <f>C8</f>
        <v>mel</v>
      </c>
      <c r="AB8" s="44" t="s">
        <v>385</v>
      </c>
      <c r="AC8" s="45" t="s">
        <v>385</v>
      </c>
      <c r="AD8" s="912">
        <v>1</v>
      </c>
    </row>
    <row r="9" spans="1:30" ht="16.5" thickBot="1">
      <c r="A9" s="104"/>
      <c r="B9" s="197">
        <v>0.57999091012384951</v>
      </c>
      <c r="C9" s="162" t="s">
        <v>1026</v>
      </c>
      <c r="D9" s="200"/>
      <c r="E9" s="113" t="s">
        <v>373</v>
      </c>
      <c r="F9" s="770">
        <v>270</v>
      </c>
      <c r="G9" s="568" t="s">
        <v>369</v>
      </c>
      <c r="H9" s="89"/>
      <c r="I9" s="334"/>
      <c r="J9" s="206" t="str">
        <f>C9</f>
        <v>hydrering</v>
      </c>
      <c r="K9" s="104"/>
      <c r="L9" s="104"/>
      <c r="M9" s="1216"/>
      <c r="N9" s="118"/>
      <c r="O9" s="118"/>
      <c r="P9" s="203"/>
      <c r="Q9" s="185"/>
      <c r="R9" s="89"/>
      <c r="S9" s="104"/>
      <c r="T9" s="1811">
        <f ca="1">TODAY()+MOD(MATCH(T7,{"Mandag";"Tirsdag";"Onsdag";"Torsdag";"Fredag";"Lørdag";"Søndag"},0)-WEEKDAY(TODAY(),2)+7,7)</f>
        <v>45926</v>
      </c>
      <c r="U9" s="1611"/>
      <c r="V9" s="207"/>
      <c r="W9" s="103"/>
      <c r="X9" s="482">
        <f t="shared" ref="X9:X13" si="0">Y9</f>
        <v>0.57999091012384951</v>
      </c>
      <c r="Y9" s="917">
        <f>IF(I9="",B9,I9)</f>
        <v>0.57999091012384951</v>
      </c>
      <c r="Z9" s="918" t="str">
        <f>C9</f>
        <v>hydrering</v>
      </c>
      <c r="AB9" s="44" t="s">
        <v>810</v>
      </c>
      <c r="AC9" s="45" t="s">
        <v>376</v>
      </c>
      <c r="AD9" s="913">
        <v>4</v>
      </c>
    </row>
    <row r="10" spans="1:30" ht="16.5" thickTop="1">
      <c r="A10" s="104"/>
      <c r="B10" s="201">
        <v>1.9997727530962389E-2</v>
      </c>
      <c r="C10" s="162" t="s">
        <v>375</v>
      </c>
      <c r="D10" s="200"/>
      <c r="E10" s="112"/>
      <c r="F10" s="109"/>
      <c r="G10" s="568"/>
      <c r="H10" s="89"/>
      <c r="I10" s="334"/>
      <c r="J10" s="206" t="str">
        <f>C10</f>
        <v>salt</v>
      </c>
      <c r="K10" s="104"/>
      <c r="L10" s="104"/>
      <c r="M10" s="1216"/>
      <c r="N10" s="118"/>
      <c r="O10" s="118"/>
      <c r="P10" s="203"/>
      <c r="Q10" s="185"/>
      <c r="R10" s="89"/>
      <c r="S10" s="104"/>
      <c r="T10" s="103"/>
      <c r="U10" s="1611"/>
      <c r="V10" s="207"/>
      <c r="W10" s="103"/>
      <c r="X10" s="482">
        <f t="shared" si="0"/>
        <v>1.9997727530962389E-2</v>
      </c>
      <c r="Y10" s="917">
        <f>IF(I10="",B10,I10)</f>
        <v>1.9997727530962389E-2</v>
      </c>
      <c r="Z10" s="918" t="str">
        <f>C10</f>
        <v>salt</v>
      </c>
      <c r="AB10" s="44" t="s">
        <v>811</v>
      </c>
      <c r="AC10" s="45" t="s">
        <v>376</v>
      </c>
      <c r="AD10" s="913">
        <v>3</v>
      </c>
    </row>
    <row r="11" spans="1:30" ht="15.75">
      <c r="A11" s="104"/>
      <c r="B11" s="1219">
        <v>6.9594364276786723E-4</v>
      </c>
      <c r="C11" s="162" t="s">
        <v>385</v>
      </c>
      <c r="D11" s="200"/>
      <c r="E11" s="825" t="s">
        <v>382</v>
      </c>
      <c r="F11" s="771">
        <f>F8*F9</f>
        <v>1620</v>
      </c>
      <c r="G11" s="571" t="s">
        <v>369</v>
      </c>
      <c r="H11" s="89"/>
      <c r="I11" s="1727"/>
      <c r="J11" s="1952" t="s">
        <v>385</v>
      </c>
      <c r="K11" s="1952"/>
      <c r="L11" s="1730" t="str">
        <f>IF(J11&lt;&gt;"tørgær","="&amp;ROUND(Y11*100,1)&amp;"%","")</f>
        <v/>
      </c>
      <c r="M11" s="1216"/>
      <c r="N11" s="118"/>
      <c r="O11" s="118"/>
      <c r="P11" s="203"/>
      <c r="Q11" s="185"/>
      <c r="R11" s="89"/>
      <c r="S11" s="1607" t="s">
        <v>1089</v>
      </c>
      <c r="T11" s="1608"/>
      <c r="U11" s="1633">
        <v>1.7361111111111112E-2</v>
      </c>
      <c r="V11" s="1927" t="s">
        <v>644</v>
      </c>
      <c r="W11" s="1927"/>
      <c r="X11" s="482">
        <f t="shared" si="0"/>
        <v>6.9594364276786723E-4</v>
      </c>
      <c r="Y11" s="917">
        <f>IF(J11="tørgær",IF(I11="",B11,I11),IF(I11="",B11,I11)*AD12)</f>
        <v>6.9594364276786723E-4</v>
      </c>
      <c r="Z11" s="918" t="str">
        <f>AC12</f>
        <v>tørgær</v>
      </c>
      <c r="AA11" s="425"/>
      <c r="AB11" s="44" t="s">
        <v>805</v>
      </c>
      <c r="AC11" s="45" t="s">
        <v>808</v>
      </c>
      <c r="AD11" s="914">
        <v>3</v>
      </c>
    </row>
    <row r="12" spans="1:30" ht="15.75">
      <c r="A12" s="104"/>
      <c r="B12" s="201">
        <v>2.7993977957050335E-2</v>
      </c>
      <c r="C12" s="162" t="s">
        <v>919</v>
      </c>
      <c r="D12" s="200"/>
      <c r="E12" s="825"/>
      <c r="F12" s="771"/>
      <c r="G12" s="571"/>
      <c r="H12" s="89"/>
      <c r="I12" s="334"/>
      <c r="J12" s="206" t="str">
        <f>Z12</f>
        <v>sukker</v>
      </c>
      <c r="K12" s="104"/>
      <c r="L12" s="104"/>
      <c r="M12" s="1216"/>
      <c r="N12" s="1216"/>
      <c r="O12" s="1216"/>
      <c r="P12" s="203"/>
      <c r="Q12" s="185"/>
      <c r="R12" s="89"/>
      <c r="S12" s="475" t="s">
        <v>1092</v>
      </c>
      <c r="T12" s="1610"/>
      <c r="U12" s="1629">
        <v>2.0833333333333332E-2</v>
      </c>
      <c r="V12" s="1031" t="s">
        <v>644</v>
      </c>
      <c r="W12" s="1031"/>
      <c r="X12" s="482">
        <f t="shared" si="0"/>
        <v>2.7993977957050335E-2</v>
      </c>
      <c r="Y12" s="917">
        <f t="shared" ref="Y12:Y13" si="1">IF(I12="",B12,I12)</f>
        <v>2.7993977957050335E-2</v>
      </c>
      <c r="Z12" s="1079" t="s">
        <v>919</v>
      </c>
      <c r="AA12" s="425"/>
      <c r="AB12" s="909" t="s">
        <v>764</v>
      </c>
      <c r="AC12" s="910" t="str">
        <f>VLOOKUP(J11,AB8:AC11,2,FALSE)</f>
        <v>tørgær</v>
      </c>
      <c r="AD12" s="921">
        <f>VLOOKUP(J11,AB8:AD11,3,FALSE)</f>
        <v>1</v>
      </c>
    </row>
    <row r="13" spans="1:30" ht="16.5" thickBot="1">
      <c r="A13" s="104"/>
      <c r="B13" s="786">
        <v>2.9996591296443584E-2</v>
      </c>
      <c r="C13" s="1230" t="str">
        <f>Z13</f>
        <v>olivenolie</v>
      </c>
      <c r="D13" s="202"/>
      <c r="E13" s="825"/>
      <c r="F13" s="771"/>
      <c r="G13" s="571"/>
      <c r="H13" s="89"/>
      <c r="I13" s="334"/>
      <c r="J13" s="206" t="str">
        <f>Z13</f>
        <v>olivenolie</v>
      </c>
      <c r="K13" s="104"/>
      <c r="L13" s="104"/>
      <c r="M13" s="1216"/>
      <c r="N13" s="1216"/>
      <c r="O13" s="1216"/>
      <c r="P13" s="203"/>
      <c r="Q13" s="185"/>
      <c r="R13" s="89"/>
      <c r="S13" s="475" t="s">
        <v>1093</v>
      </c>
      <c r="T13" s="1610"/>
      <c r="U13" s="1580">
        <v>0.125</v>
      </c>
      <c r="V13" s="1031" t="s">
        <v>644</v>
      </c>
      <c r="W13" s="1031"/>
      <c r="X13" s="482">
        <f t="shared" si="0"/>
        <v>2.9996591296443584E-2</v>
      </c>
      <c r="Y13" s="917">
        <f t="shared" si="1"/>
        <v>2.9996591296443584E-2</v>
      </c>
      <c r="Z13" s="1079" t="s">
        <v>646</v>
      </c>
      <c r="AA13" s="425"/>
      <c r="AD13" s="18"/>
    </row>
    <row r="14" spans="1:30" ht="15.75">
      <c r="A14" s="104"/>
      <c r="B14" s="772"/>
      <c r="C14" s="162"/>
      <c r="D14" s="162"/>
      <c r="E14" s="89"/>
      <c r="F14" s="475"/>
      <c r="G14" s="112"/>
      <c r="H14" s="89"/>
      <c r="I14" s="207"/>
      <c r="J14" s="568"/>
      <c r="K14" s="89"/>
      <c r="L14" s="89"/>
      <c r="M14" s="89"/>
      <c r="N14" s="104"/>
      <c r="O14" s="104"/>
      <c r="P14" s="203"/>
      <c r="Q14" s="89"/>
      <c r="R14" s="89"/>
      <c r="S14" s="475" t="s">
        <v>1094</v>
      </c>
      <c r="T14" s="1610"/>
      <c r="U14" s="1580">
        <v>2.7430555555555554</v>
      </c>
      <c r="V14" s="1031" t="s">
        <v>644</v>
      </c>
      <c r="W14" s="1031"/>
      <c r="AA14" s="436"/>
    </row>
    <row r="15" spans="1:30" ht="15.75" customHeight="1">
      <c r="A15" s="89"/>
      <c r="B15" s="1480"/>
      <c r="C15" s="1954" t="str">
        <f>C2</f>
        <v>Perfect Pizza at Home New York Style</v>
      </c>
      <c r="D15" s="1954"/>
      <c r="E15" s="1954"/>
      <c r="F15" s="1954"/>
      <c r="G15" s="1954"/>
      <c r="H15" s="1954"/>
      <c r="I15" s="1954"/>
      <c r="J15" s="1954"/>
      <c r="K15" s="1954"/>
      <c r="L15" s="9"/>
      <c r="M15" s="9"/>
      <c r="N15" s="9"/>
      <c r="O15" s="10"/>
      <c r="P15" s="203"/>
      <c r="Q15" s="89"/>
      <c r="R15" s="89"/>
      <c r="S15" s="89"/>
      <c r="T15" s="89"/>
      <c r="U15" s="89"/>
      <c r="V15" s="89"/>
      <c r="W15" s="89"/>
      <c r="Y15" s="526"/>
      <c r="Z15" s="1217"/>
    </row>
    <row r="16" spans="1:30" ht="15.75" customHeight="1">
      <c r="A16" s="89"/>
      <c r="B16" s="1481"/>
      <c r="C16" s="1887"/>
      <c r="D16" s="1887"/>
      <c r="E16" s="1887"/>
      <c r="F16" s="1887"/>
      <c r="G16" s="1887"/>
      <c r="H16" s="1887"/>
      <c r="I16" s="1887"/>
      <c r="J16" s="1887"/>
      <c r="K16" s="1887"/>
      <c r="O16" s="758"/>
      <c r="P16" s="203"/>
      <c r="Q16" s="185"/>
      <c r="R16" s="89"/>
      <c r="S16" s="1607" t="str">
        <f ca="1">S22</f>
        <v>Dag 4</v>
      </c>
      <c r="T16" s="1608"/>
      <c r="U16" s="1633"/>
      <c r="V16" s="1031"/>
      <c r="W16" s="1031"/>
      <c r="Y16" s="329"/>
      <c r="AB16" s="482"/>
    </row>
    <row r="17" spans="1:28" ht="15.75" customHeight="1">
      <c r="A17" s="89"/>
      <c r="B17" s="1481"/>
      <c r="C17" s="1887"/>
      <c r="D17" s="1887"/>
      <c r="E17" s="1887"/>
      <c r="F17" s="1887"/>
      <c r="G17" s="1887"/>
      <c r="H17" s="1887"/>
      <c r="I17" s="1887"/>
      <c r="J17" s="1887"/>
      <c r="K17" s="1887"/>
      <c r="O17" s="758"/>
      <c r="P17" s="203"/>
      <c r="Q17" s="185"/>
      <c r="R17" s="89"/>
      <c r="S17" s="475" t="s">
        <v>1095</v>
      </c>
      <c r="T17" s="104"/>
      <c r="U17" s="1579">
        <v>0.125</v>
      </c>
      <c r="V17" s="1031" t="s">
        <v>644</v>
      </c>
      <c r="W17" s="1600"/>
      <c r="AB17" s="482"/>
    </row>
    <row r="18" spans="1:28" ht="15.75">
      <c r="A18" s="89"/>
      <c r="B18" s="1713" t="s">
        <v>746</v>
      </c>
      <c r="C18" s="5" t="s">
        <v>961</v>
      </c>
      <c r="E18" s="5"/>
      <c r="L18" s="1919" t="s">
        <v>1054</v>
      </c>
      <c r="M18" s="1920"/>
      <c r="N18" s="1921"/>
      <c r="O18" s="758"/>
      <c r="P18" s="203"/>
      <c r="Q18" s="185"/>
      <c r="R18" s="89"/>
      <c r="S18" s="89"/>
      <c r="T18" s="89"/>
      <c r="U18" s="89"/>
      <c r="V18" s="89"/>
      <c r="W18" s="89"/>
      <c r="AB18" s="482"/>
    </row>
    <row r="19" spans="1:28" ht="16.5" thickBot="1">
      <c r="A19" s="89"/>
      <c r="B19" s="1714"/>
      <c r="C19" t="s">
        <v>956</v>
      </c>
      <c r="E19" s="5"/>
      <c r="L19" s="1916" t="str">
        <f>F8&amp;" pizzaer a "&amp;ROUND(F9,0)&amp;" g. -  "&amp;ROUND(Y9*100,0)&amp;"% hydrering"</f>
        <v>6 pizzaer a 270 g. -  58% hydrering</v>
      </c>
      <c r="M19" s="1917"/>
      <c r="N19" s="1918"/>
      <c r="O19" s="758"/>
      <c r="P19" s="203"/>
      <c r="Q19" s="185"/>
      <c r="R19" s="89"/>
      <c r="S19" s="1601" t="str">
        <f ca="1">"Samlet tid  ("&amp;_xlfn.DAYS(T22,T21)&amp;" dage)"</f>
        <v>Samlet tid  (3 dage)</v>
      </c>
      <c r="T19" s="1602"/>
      <c r="U19" s="1603">
        <f>SUM(U11:U17)</f>
        <v>3.03125</v>
      </c>
      <c r="V19" s="1604" t="s">
        <v>644</v>
      </c>
      <c r="W19" s="89"/>
      <c r="AB19" s="482"/>
    </row>
    <row r="20" spans="1:28" ht="15.75">
      <c r="A20" s="89"/>
      <c r="B20" s="1714"/>
      <c r="C20" s="1484" t="s">
        <v>984</v>
      </c>
      <c r="L20" s="44"/>
      <c r="N20" s="45"/>
      <c r="O20" s="758"/>
      <c r="P20" s="203"/>
      <c r="Q20" s="185"/>
      <c r="R20" s="89"/>
      <c r="S20" s="103"/>
      <c r="T20" s="1605"/>
      <c r="U20" s="1605"/>
      <c r="V20" s="1606"/>
      <c r="W20" s="89"/>
      <c r="AA20" s="529"/>
      <c r="AB20" s="482"/>
    </row>
    <row r="21" spans="1:28" ht="15.75">
      <c r="A21" s="89"/>
      <c r="B21" s="1713" t="s">
        <v>746</v>
      </c>
      <c r="C21" t="s">
        <v>981</v>
      </c>
      <c r="E21" s="823"/>
      <c r="F21" s="1484"/>
      <c r="G21" s="1484"/>
      <c r="H21" s="1484"/>
      <c r="I21" s="1484"/>
      <c r="J21" s="1484"/>
      <c r="L21" s="1374">
        <f>$F$11*(Y8/SUM($Y$8:$Y$15))</f>
        <v>976.68310727496919</v>
      </c>
      <c r="M21" s="248" t="str">
        <f>"g "&amp;C8</f>
        <v>g mel</v>
      </c>
      <c r="N21" s="1742">
        <f>Y8</f>
        <v>1</v>
      </c>
      <c r="O21" s="758"/>
      <c r="P21" s="203"/>
      <c r="Q21" s="185"/>
      <c r="R21" s="89"/>
      <c r="S21" s="1551" t="s">
        <v>0</v>
      </c>
      <c r="T21" s="1922">
        <f ca="1">IF(T9="","?",T9-U19+T8)</f>
        <v>45923.697916666664</v>
      </c>
      <c r="U21" s="1922"/>
      <c r="V21" s="1922"/>
      <c r="W21" s="89"/>
      <c r="AB21" s="482"/>
    </row>
    <row r="22" spans="1:28" ht="15.75">
      <c r="A22" s="89"/>
      <c r="B22" s="1715"/>
      <c r="C22" s="37" t="s">
        <v>982</v>
      </c>
      <c r="L22" s="1493">
        <f>$F$11*(Y11/SUM($Y$8:$Y$13))</f>
        <v>0.67971639950678164</v>
      </c>
      <c r="M22" s="248" t="str">
        <f>"g "&amp;AC12</f>
        <v>g tørgær</v>
      </c>
      <c r="N22" s="1743">
        <f>Y11</f>
        <v>6.9594364276786723E-4</v>
      </c>
      <c r="O22" s="758"/>
      <c r="P22" s="203"/>
      <c r="Q22" s="185"/>
      <c r="R22" s="89"/>
      <c r="S22" s="1614" t="str">
        <f ca="1">"Dag "&amp;IF(T9="","?",_xlfn.DAYS(T22,T21)+1)</f>
        <v>Dag 4</v>
      </c>
      <c r="T22" s="1950">
        <f ca="1">IF(T9="","?",T21+SUM(U11:U14))</f>
        <v>45926.604166666664</v>
      </c>
      <c r="U22" s="1950"/>
      <c r="V22" s="1950"/>
      <c r="W22" s="89"/>
    </row>
    <row r="23" spans="1:28" ht="15.75">
      <c r="A23" s="89"/>
      <c r="B23" s="1714"/>
      <c r="C23" s="1484" t="s">
        <v>983</v>
      </c>
      <c r="L23" s="1510">
        <f>$F$11*(Y10/SUM($Y$8:$Y$13))</f>
        <v>19.531442663378542</v>
      </c>
      <c r="M23" s="248" t="s">
        <v>29</v>
      </c>
      <c r="N23" s="1746">
        <f>Y10</f>
        <v>1.9997727530962389E-2</v>
      </c>
      <c r="O23" s="758"/>
      <c r="P23" s="203"/>
      <c r="Q23" s="185"/>
      <c r="R23" s="89"/>
      <c r="S23" s="787"/>
      <c r="T23" s="89"/>
      <c r="U23" s="89"/>
      <c r="V23" s="89"/>
      <c r="W23" s="89"/>
    </row>
    <row r="24" spans="1:28" ht="15.75">
      <c r="A24" s="89"/>
      <c r="B24" s="1712" t="s">
        <v>746</v>
      </c>
      <c r="C24" s="1462" t="s">
        <v>968</v>
      </c>
      <c r="L24" s="1510">
        <f>$F$11*(Y12/SUM($Y$8:$Y$13))</f>
        <v>27.341245376078916</v>
      </c>
      <c r="M24" t="s">
        <v>202</v>
      </c>
      <c r="N24" s="1746">
        <f>Y12</f>
        <v>2.7993977957050335E-2</v>
      </c>
      <c r="O24" s="758"/>
      <c r="P24" s="203"/>
      <c r="Q24" s="1630"/>
      <c r="R24" s="1631"/>
      <c r="S24" s="1632"/>
      <c r="T24" s="1631"/>
      <c r="U24" s="1631"/>
      <c r="V24" s="1631"/>
      <c r="W24" s="1631"/>
    </row>
    <row r="25" spans="1:28" ht="15.75">
      <c r="A25" s="89"/>
      <c r="B25" s="1714"/>
      <c r="C25" s="1462" t="s">
        <v>1171</v>
      </c>
      <c r="L25" s="1374">
        <f>$F$11*(Y9/SUM($Y$8:$Y$15))</f>
        <v>566.4673242909987</v>
      </c>
      <c r="M25" s="248" t="s">
        <v>920</v>
      </c>
      <c r="N25" s="1745">
        <f>Y9</f>
        <v>0.57999091012384951</v>
      </c>
      <c r="O25" s="758"/>
      <c r="P25" s="203"/>
      <c r="Q25" s="185"/>
      <c r="R25" s="89"/>
      <c r="S25" s="787"/>
      <c r="T25" s="89"/>
      <c r="U25" s="89"/>
      <c r="V25" s="89"/>
      <c r="W25" s="89"/>
    </row>
    <row r="26" spans="1:28" ht="15.75">
      <c r="A26" s="89"/>
      <c r="B26" s="1714"/>
      <c r="C26" s="1461" t="s">
        <v>969</v>
      </c>
      <c r="L26" s="1511">
        <f>$F$11*(Y13/SUM($Y$8:$Y$13))</f>
        <v>29.297163995067812</v>
      </c>
      <c r="M26" s="832" t="s">
        <v>952</v>
      </c>
      <c r="N26" s="1747">
        <f>Y13</f>
        <v>2.9996591296443584E-2</v>
      </c>
      <c r="O26" s="45"/>
      <c r="P26" s="203"/>
      <c r="Q26" s="185"/>
      <c r="R26" s="89"/>
      <c r="S26" s="134"/>
      <c r="T26" s="93"/>
      <c r="U26" s="89"/>
      <c r="V26" s="89"/>
      <c r="W26" s="89"/>
    </row>
    <row r="27" spans="1:28" ht="15.75" customHeight="1">
      <c r="A27" s="89"/>
      <c r="B27" s="1712" t="s">
        <v>746</v>
      </c>
      <c r="C27" t="str">
        <f>IF(AC12="tørgær","Tørgæren arbejder bedst når vandet er 25-27°.","Frisk gær kan opløses i koldt eller lunkent vand.")</f>
        <v>Tørgæren arbejder bedst når vandet er 25-27°.</v>
      </c>
      <c r="L27" s="1512">
        <f>SUM(L21:L26)</f>
        <v>1620</v>
      </c>
      <c r="M27" s="105" t="s">
        <v>326</v>
      </c>
      <c r="N27" s="45"/>
      <c r="O27" s="45"/>
      <c r="P27" s="203"/>
      <c r="Q27" s="185"/>
      <c r="R27" s="89"/>
      <c r="S27" s="134"/>
      <c r="T27" s="93"/>
      <c r="U27" s="89"/>
      <c r="V27" s="89"/>
      <c r="W27" s="89"/>
    </row>
    <row r="28" spans="1:28" ht="15.75" customHeight="1">
      <c r="A28" s="89"/>
      <c r="B28" s="44"/>
      <c r="L28" s="47"/>
      <c r="M28" s="82"/>
      <c r="N28" s="48"/>
      <c r="O28" s="45"/>
      <c r="P28" s="203"/>
      <c r="Q28" s="185"/>
      <c r="R28" s="89"/>
      <c r="S28" s="134"/>
      <c r="T28" s="93"/>
      <c r="U28" s="89"/>
      <c r="V28" s="89"/>
      <c r="W28" s="89"/>
    </row>
    <row r="29" spans="1:28" ht="15.75">
      <c r="A29" s="89"/>
      <c r="B29" s="44"/>
      <c r="O29" s="45"/>
      <c r="P29" s="203"/>
      <c r="Q29" s="185"/>
      <c r="R29" s="89"/>
      <c r="S29" s="134"/>
      <c r="T29" s="93"/>
      <c r="U29" s="89"/>
      <c r="V29" s="89"/>
      <c r="W29" s="89"/>
    </row>
    <row r="30" spans="1:28" ht="15.75">
      <c r="A30" s="89"/>
      <c r="B30" s="44"/>
      <c r="O30" s="45"/>
      <c r="P30" s="203"/>
      <c r="Q30" s="185"/>
      <c r="R30" s="89"/>
      <c r="S30" s="134"/>
      <c r="T30" s="93"/>
      <c r="U30" s="89"/>
      <c r="V30" s="89"/>
      <c r="W30" s="89"/>
    </row>
    <row r="31" spans="1:28" ht="18">
      <c r="A31" s="89"/>
      <c r="B31" s="1479" t="s">
        <v>1035</v>
      </c>
      <c r="C31" s="1491" t="s">
        <v>0</v>
      </c>
      <c r="D31" s="1215"/>
      <c r="E31" s="1215"/>
      <c r="F31" s="536"/>
      <c r="G31" s="82"/>
      <c r="H31" s="807"/>
      <c r="I31" s="808"/>
      <c r="J31" s="536"/>
      <c r="K31" s="536"/>
      <c r="L31" s="1785" t="str">
        <f ca="1">TEXT(T21,"dddd")</f>
        <v>tirsdag</v>
      </c>
      <c r="M31" s="1951">
        <f ca="1">IF($T$8="","",T21)</f>
        <v>45923.697916666664</v>
      </c>
      <c r="N31" s="1951"/>
      <c r="O31" s="758"/>
      <c r="P31" s="203"/>
      <c r="Q31" s="185"/>
      <c r="R31" s="89"/>
      <c r="S31" s="134"/>
      <c r="T31" s="93"/>
      <c r="U31" s="89"/>
      <c r="V31" s="89"/>
      <c r="W31" s="89"/>
    </row>
    <row r="32" spans="1:28" ht="15.75">
      <c r="A32" s="89"/>
      <c r="B32" s="1057"/>
      <c r="C32" s="105"/>
      <c r="D32" s="105"/>
      <c r="E32" s="105"/>
      <c r="F32" s="105"/>
      <c r="G32" s="105"/>
      <c r="H32" s="105"/>
      <c r="I32" s="105"/>
      <c r="J32" s="105"/>
      <c r="O32" s="758"/>
      <c r="P32" s="203"/>
      <c r="Q32" s="185"/>
      <c r="R32" s="89"/>
      <c r="S32" s="134"/>
      <c r="T32" s="93"/>
      <c r="U32" s="89"/>
      <c r="V32" s="89"/>
      <c r="W32" s="89"/>
    </row>
    <row r="33" spans="1:23" ht="15.75" customHeight="1">
      <c r="A33" s="89"/>
      <c r="B33" s="1398" t="s">
        <v>1034</v>
      </c>
      <c r="C33" s="708">
        <v>1</v>
      </c>
      <c r="D33" s="425" t="s">
        <v>949</v>
      </c>
      <c r="E33" s="425"/>
      <c r="F33" s="425"/>
      <c r="G33" s="425"/>
      <c r="H33" s="425"/>
      <c r="I33" s="425"/>
      <c r="J33" s="105"/>
      <c r="L33" s="1967" t="str">
        <f>ROUND(L21,0)&amp;" g mel, "&amp;IF(J11="tørgær",ROUND(L22,2)&amp;" g gær, ","")&amp;ROUND(L23,0)&amp;" g salt,"</f>
        <v>977 g mel, 0,68 g gær, 20 g salt,</v>
      </c>
      <c r="M33" s="1968"/>
      <c r="N33" s="1969"/>
      <c r="O33" s="758"/>
      <c r="P33" s="203"/>
      <c r="Q33" s="185"/>
      <c r="R33" s="89"/>
      <c r="S33" s="134"/>
      <c r="T33" s="93"/>
      <c r="U33" s="89"/>
      <c r="V33" s="89"/>
      <c r="W33" s="89"/>
    </row>
    <row r="34" spans="1:23" ht="15.75">
      <c r="A34" s="89"/>
      <c r="B34" s="7"/>
      <c r="C34" s="105"/>
      <c r="D34" s="105"/>
      <c r="E34" s="105"/>
      <c r="F34" s="105"/>
      <c r="G34" s="105"/>
      <c r="H34" s="105"/>
      <c r="I34" s="105"/>
      <c r="J34" s="105"/>
      <c r="L34" s="1368" t="str">
        <f>ROUND(L24,0)&amp;" g sukker"</f>
        <v>27 g sukker</v>
      </c>
      <c r="M34" s="1369"/>
      <c r="N34" s="1370"/>
      <c r="O34" s="758"/>
      <c r="P34" s="203"/>
      <c r="Q34" s="185"/>
      <c r="R34" s="89"/>
      <c r="S34" s="134"/>
      <c r="T34" s="93"/>
      <c r="U34" s="89"/>
      <c r="V34" s="89"/>
      <c r="W34" s="89"/>
    </row>
    <row r="35" spans="1:23" ht="18">
      <c r="A35" s="89"/>
      <c r="B35" s="1398" t="s">
        <v>1034</v>
      </c>
      <c r="C35" s="708">
        <v>2</v>
      </c>
      <c r="D35" s="425" t="str">
        <f>IF(J11="tørgær","Tilføj vand og olie. Ælt ved lav hastighed 2 min..","Opløs gær i vandet, tilsæt olie og ælt ved lav hastighed i 2 min")</f>
        <v>Tilføj vand og olie. Ælt ved lav hastighed 2 min..</v>
      </c>
      <c r="E35" s="425"/>
      <c r="F35" s="425"/>
      <c r="G35" s="425"/>
      <c r="H35" s="425"/>
      <c r="I35" s="425"/>
      <c r="J35" s="425"/>
      <c r="L35" s="1371" t="str">
        <f>ROUND(L25,0)&amp;" g vand, "&amp;IF(J11&lt;&gt;"tørgær",ROUND(L22,2)&amp;" g frisk gær, ","")&amp;ROUND(L26,0)&amp;" g olie"</f>
        <v>566 g vand, 29 g olie</v>
      </c>
      <c r="M35" s="1372"/>
      <c r="N35" s="1373"/>
      <c r="O35" s="758"/>
      <c r="P35" s="203"/>
      <c r="Q35" s="185"/>
      <c r="R35" s="89"/>
      <c r="S35" s="134"/>
      <c r="T35" s="93"/>
      <c r="U35" s="89"/>
      <c r="V35" s="89"/>
      <c r="W35" s="89"/>
    </row>
    <row r="36" spans="1:23" ht="15.75">
      <c r="A36" s="89"/>
      <c r="B36" s="7"/>
      <c r="C36" s="105"/>
      <c r="D36" s="105"/>
      <c r="E36" s="105"/>
      <c r="F36" s="105"/>
      <c r="G36" s="105"/>
      <c r="H36" s="105"/>
      <c r="I36" s="105"/>
      <c r="J36" s="105"/>
      <c r="L36" s="1485"/>
      <c r="M36" s="1485"/>
      <c r="N36" s="1485"/>
      <c r="O36" s="758"/>
      <c r="P36" s="203"/>
      <c r="Q36" s="185"/>
      <c r="R36" s="89"/>
      <c r="S36" s="134"/>
      <c r="T36" s="93"/>
      <c r="U36" s="89"/>
      <c r="V36" s="89"/>
      <c r="W36" s="89"/>
    </row>
    <row r="37" spans="1:23" ht="18">
      <c r="A37" s="89"/>
      <c r="B37" s="1398" t="s">
        <v>1034</v>
      </c>
      <c r="C37" s="708">
        <v>3</v>
      </c>
      <c r="D37" s="425" t="s">
        <v>1212</v>
      </c>
      <c r="E37" s="425"/>
      <c r="F37" s="425"/>
      <c r="G37" s="425"/>
      <c r="H37" s="425"/>
      <c r="I37" s="425"/>
      <c r="J37" s="425"/>
      <c r="K37" s="5"/>
      <c r="L37" s="1513"/>
      <c r="M37" s="1514"/>
      <c r="N37" s="1514"/>
      <c r="O37" s="758"/>
      <c r="P37" s="203"/>
      <c r="Q37" s="185"/>
      <c r="R37" s="89"/>
      <c r="S37" s="134"/>
      <c r="T37" s="93"/>
      <c r="U37" s="89"/>
      <c r="V37" s="89"/>
      <c r="W37" s="89"/>
    </row>
    <row r="38" spans="1:23" ht="15.75">
      <c r="A38" s="89"/>
      <c r="B38" s="7"/>
      <c r="C38" s="708"/>
      <c r="D38" s="425"/>
      <c r="E38" s="425"/>
      <c r="F38" s="425"/>
      <c r="G38" s="425"/>
      <c r="H38" s="425"/>
      <c r="I38" s="425"/>
      <c r="J38" s="425"/>
      <c r="K38" s="5"/>
      <c r="L38" s="1486"/>
      <c r="M38" s="5"/>
      <c r="N38" s="5"/>
      <c r="O38" s="758"/>
      <c r="P38" s="203"/>
      <c r="Q38" s="185"/>
      <c r="R38" s="89"/>
      <c r="S38" s="134"/>
      <c r="T38" s="93"/>
      <c r="U38" s="89"/>
      <c r="V38" s="89"/>
      <c r="W38" s="89"/>
    </row>
    <row r="39" spans="1:23" ht="18">
      <c r="A39" s="89"/>
      <c r="B39" s="1398" t="s">
        <v>1034</v>
      </c>
      <c r="C39" s="708">
        <v>4</v>
      </c>
      <c r="D39" s="224" t="s">
        <v>985</v>
      </c>
      <c r="E39" s="105"/>
      <c r="F39" s="105"/>
      <c r="G39" s="105"/>
      <c r="H39" s="105"/>
      <c r="I39" s="105"/>
      <c r="J39" s="105"/>
      <c r="K39" s="5"/>
      <c r="L39" s="5"/>
      <c r="M39" s="5"/>
      <c r="N39" s="5"/>
      <c r="O39" s="758"/>
      <c r="P39" s="203"/>
      <c r="Q39" s="185"/>
      <c r="R39" s="89"/>
      <c r="S39" s="134"/>
      <c r="T39" s="93"/>
      <c r="U39" s="89"/>
      <c r="V39" s="89"/>
      <c r="W39" s="89"/>
    </row>
    <row r="40" spans="1:23" ht="15.75">
      <c r="A40" s="89"/>
      <c r="B40" s="44"/>
      <c r="C40" s="708"/>
      <c r="D40" s="425" t="s">
        <v>950</v>
      </c>
      <c r="E40" s="425"/>
      <c r="F40" s="425"/>
      <c r="G40" s="425"/>
      <c r="H40" s="425"/>
      <c r="I40" s="425"/>
      <c r="J40" s="425"/>
      <c r="O40" s="45"/>
      <c r="P40" s="203"/>
      <c r="Q40" s="185"/>
      <c r="R40" s="89"/>
      <c r="S40" s="134"/>
      <c r="T40" s="93"/>
      <c r="U40" s="89"/>
      <c r="V40" s="89"/>
      <c r="W40" s="89"/>
    </row>
    <row r="41" spans="1:23" ht="15.75">
      <c r="A41" s="89"/>
      <c r="B41" s="44"/>
      <c r="C41" s="708"/>
      <c r="D41" s="425"/>
      <c r="E41" s="425"/>
      <c r="F41" s="425"/>
      <c r="G41" s="425"/>
      <c r="H41" s="425"/>
      <c r="I41" s="425"/>
      <c r="J41" s="425"/>
      <c r="O41" s="45"/>
      <c r="P41" s="203"/>
      <c r="Q41" s="185"/>
      <c r="R41" s="89"/>
      <c r="S41" s="134"/>
      <c r="T41" s="93"/>
      <c r="U41" s="89"/>
      <c r="V41" s="89"/>
      <c r="W41" s="89"/>
    </row>
    <row r="42" spans="1:23" ht="18">
      <c r="A42" s="89"/>
      <c r="B42" s="1398" t="s">
        <v>1034</v>
      </c>
      <c r="C42" s="708">
        <v>5</v>
      </c>
      <c r="D42" s="425" t="s">
        <v>957</v>
      </c>
      <c r="E42" s="425"/>
      <c r="F42" s="425"/>
      <c r="G42" s="425"/>
      <c r="H42" s="425"/>
      <c r="I42" s="425"/>
      <c r="J42" s="425"/>
      <c r="O42" s="45"/>
      <c r="P42" s="203"/>
      <c r="Q42" s="185"/>
      <c r="R42" s="89"/>
      <c r="S42" s="134"/>
      <c r="T42" s="93"/>
      <c r="U42" s="89"/>
      <c r="V42" s="89"/>
      <c r="W42" s="89"/>
    </row>
    <row r="43" spans="1:23" ht="15.75">
      <c r="A43" s="89"/>
      <c r="B43" s="44"/>
      <c r="C43" s="708"/>
      <c r="D43" s="425"/>
      <c r="E43" s="425"/>
      <c r="F43" s="425"/>
      <c r="G43" s="425"/>
      <c r="H43" s="425"/>
      <c r="I43" s="425"/>
      <c r="J43" s="425"/>
      <c r="O43" s="45"/>
      <c r="P43" s="203"/>
      <c r="Q43" s="185"/>
      <c r="R43" s="89"/>
      <c r="S43" s="134"/>
      <c r="T43" s="93"/>
      <c r="U43" s="89"/>
      <c r="V43" s="89"/>
      <c r="W43" s="89"/>
    </row>
    <row r="44" spans="1:23" ht="18">
      <c r="A44" s="89"/>
      <c r="B44" s="1398" t="s">
        <v>1034</v>
      </c>
      <c r="C44" s="708">
        <v>6</v>
      </c>
      <c r="D44" s="425" t="str">
        <f>"Del dejen i "&amp;F8&amp;" klumper, og form dem til boller"</f>
        <v>Del dejen i 6 klumper, og form dem til boller</v>
      </c>
      <c r="E44" s="425"/>
      <c r="F44" s="425"/>
      <c r="G44" s="425"/>
      <c r="H44" s="425"/>
      <c r="I44" s="425"/>
      <c r="J44" s="425"/>
      <c r="O44" s="45"/>
      <c r="P44" s="203"/>
      <c r="Q44" s="185"/>
      <c r="R44" s="89"/>
      <c r="S44" s="134"/>
      <c r="T44" s="93"/>
      <c r="U44" s="89"/>
      <c r="V44" s="89"/>
      <c r="W44" s="89"/>
    </row>
    <row r="45" spans="1:23" ht="15.75">
      <c r="A45" s="89"/>
      <c r="B45" s="44"/>
      <c r="C45" s="708"/>
      <c r="D45" s="425"/>
      <c r="E45" s="425"/>
      <c r="F45" s="425"/>
      <c r="G45" s="425"/>
      <c r="H45" s="425"/>
      <c r="I45" s="425"/>
      <c r="J45" s="425"/>
      <c r="O45" s="45"/>
      <c r="P45" s="203"/>
      <c r="Q45" s="185"/>
      <c r="R45" s="89"/>
      <c r="S45" s="134"/>
      <c r="T45" s="93"/>
      <c r="U45" s="89"/>
      <c r="V45" s="89"/>
      <c r="W45" s="89"/>
    </row>
    <row r="46" spans="1:23" ht="18">
      <c r="A46" s="89"/>
      <c r="B46" s="1398" t="s">
        <v>1034</v>
      </c>
      <c r="C46" s="708">
        <v>7</v>
      </c>
      <c r="D46" s="425" t="s">
        <v>951</v>
      </c>
      <c r="E46" s="425"/>
      <c r="F46" s="425"/>
      <c r="G46" s="425"/>
      <c r="H46" s="425"/>
      <c r="I46" s="425"/>
      <c r="J46" s="425"/>
      <c r="O46" s="45"/>
      <c r="P46" s="203"/>
      <c r="Q46" s="185"/>
      <c r="R46" s="89"/>
      <c r="S46" s="134"/>
      <c r="T46" s="93"/>
      <c r="U46" s="89"/>
      <c r="V46" s="89"/>
      <c r="W46" s="89"/>
    </row>
    <row r="47" spans="1:23" ht="15.75">
      <c r="A47" s="89"/>
      <c r="B47" s="44"/>
      <c r="C47" s="708"/>
      <c r="D47" s="425" t="s">
        <v>958</v>
      </c>
      <c r="E47" s="425"/>
      <c r="F47" s="425"/>
      <c r="G47" s="425"/>
      <c r="H47" s="425"/>
      <c r="I47" s="425"/>
      <c r="J47" s="425"/>
      <c r="O47" s="45"/>
      <c r="P47" s="203"/>
      <c r="Q47" s="185"/>
      <c r="R47" s="89"/>
      <c r="S47" s="134"/>
      <c r="T47" s="93"/>
      <c r="U47" s="89"/>
      <c r="V47" s="89"/>
      <c r="W47" s="89"/>
    </row>
    <row r="48" spans="1:23" ht="15.75">
      <c r="A48" s="89"/>
      <c r="B48" s="44"/>
      <c r="C48" s="708"/>
      <c r="D48" s="425"/>
      <c r="E48" s="425"/>
      <c r="F48" s="425"/>
      <c r="G48" s="425"/>
      <c r="H48" s="425"/>
      <c r="I48" s="425"/>
      <c r="J48" s="425"/>
      <c r="O48" s="45"/>
      <c r="P48" s="203"/>
      <c r="Q48" s="185"/>
      <c r="R48" s="89"/>
      <c r="S48" s="134"/>
      <c r="T48" s="93"/>
      <c r="U48" s="89"/>
      <c r="V48" s="89"/>
      <c r="W48" s="89"/>
    </row>
    <row r="49" spans="1:23" ht="15.75">
      <c r="A49" s="89"/>
      <c r="B49" s="44"/>
      <c r="O49" s="45"/>
      <c r="P49" s="203"/>
      <c r="Q49" s="185"/>
      <c r="R49" s="89"/>
      <c r="S49" s="134"/>
      <c r="T49" s="93"/>
      <c r="U49" s="89"/>
      <c r="V49" s="89"/>
      <c r="W49" s="89"/>
    </row>
    <row r="50" spans="1:23" ht="17.25">
      <c r="A50" s="89"/>
      <c r="B50" s="47"/>
      <c r="C50" s="1491" t="str">
        <f ca="1">S22</f>
        <v>Dag 4</v>
      </c>
      <c r="D50" s="1218"/>
      <c r="E50" s="1215"/>
      <c r="F50" s="82"/>
      <c r="G50" s="82"/>
      <c r="H50" s="807"/>
      <c r="I50" s="809"/>
      <c r="J50" s="810"/>
      <c r="K50" s="3"/>
      <c r="L50" s="1785" t="str">
        <f ca="1">TEXT(T22,"dddd")</f>
        <v>fredag</v>
      </c>
      <c r="M50" s="1951">
        <f ca="1">IF($T$8="","",T22)</f>
        <v>45926.604166666664</v>
      </c>
      <c r="N50" s="1951"/>
      <c r="O50" s="45"/>
      <c r="P50" s="203"/>
      <c r="Q50" s="185"/>
      <c r="R50" s="89"/>
      <c r="S50" s="134"/>
      <c r="T50" s="93"/>
      <c r="U50" s="89"/>
      <c r="V50" s="89"/>
      <c r="W50" s="89"/>
    </row>
    <row r="51" spans="1:23" ht="15.75">
      <c r="A51" s="89"/>
      <c r="B51" s="44"/>
      <c r="C51" s="105"/>
      <c r="D51" s="105"/>
      <c r="E51" s="105"/>
      <c r="F51" s="105"/>
      <c r="G51" s="105"/>
      <c r="H51" s="105"/>
      <c r="I51" s="105"/>
      <c r="J51" s="105"/>
      <c r="O51" s="45"/>
      <c r="P51" s="203"/>
      <c r="Q51" s="185"/>
      <c r="R51" s="89"/>
      <c r="S51" s="134"/>
      <c r="T51" s="93"/>
      <c r="U51" s="89"/>
      <c r="V51" s="89"/>
      <c r="W51" s="89"/>
    </row>
    <row r="52" spans="1:23" ht="18">
      <c r="A52" s="89"/>
      <c r="B52" s="1398" t="s">
        <v>1034</v>
      </c>
      <c r="C52" s="708">
        <v>8</v>
      </c>
      <c r="D52" s="105" t="s">
        <v>1096</v>
      </c>
      <c r="E52" s="105"/>
      <c r="F52" s="105"/>
      <c r="G52" s="105"/>
      <c r="H52" s="105"/>
      <c r="I52" s="105"/>
      <c r="J52" s="105"/>
      <c r="N52" s="5"/>
      <c r="O52" s="45"/>
      <c r="P52" s="203"/>
      <c r="Q52" s="185"/>
      <c r="R52" s="89"/>
      <c r="S52" s="134"/>
      <c r="T52" s="93"/>
      <c r="U52" s="89"/>
      <c r="V52" s="89"/>
      <c r="W52" s="89"/>
    </row>
    <row r="53" spans="1:23" ht="15.75">
      <c r="A53" s="89"/>
      <c r="B53" s="44"/>
      <c r="C53" s="708"/>
      <c r="D53" s="105"/>
      <c r="E53" s="105"/>
      <c r="F53" s="105"/>
      <c r="G53" s="105"/>
      <c r="H53" s="105"/>
      <c r="I53" s="105"/>
      <c r="J53" s="105"/>
      <c r="N53" s="5"/>
      <c r="O53" s="45"/>
      <c r="P53" s="203"/>
      <c r="Q53" s="185"/>
      <c r="R53" s="89"/>
      <c r="S53" s="134"/>
      <c r="T53" s="93"/>
      <c r="U53" s="89"/>
      <c r="V53" s="89"/>
      <c r="W53" s="89"/>
    </row>
    <row r="54" spans="1:23" ht="15.75">
      <c r="A54" s="89"/>
      <c r="B54" s="44"/>
      <c r="C54" s="708"/>
      <c r="D54" s="105"/>
      <c r="E54" s="105"/>
      <c r="F54" s="105"/>
      <c r="G54" s="105"/>
      <c r="H54" s="105"/>
      <c r="I54" s="105"/>
      <c r="J54" s="105"/>
      <c r="N54" s="5"/>
      <c r="O54" s="45"/>
      <c r="P54" s="203"/>
      <c r="Q54" s="185"/>
      <c r="R54" s="89"/>
      <c r="S54" s="134"/>
      <c r="T54" s="93"/>
      <c r="U54" s="89"/>
      <c r="V54" s="89"/>
      <c r="W54" s="89"/>
    </row>
    <row r="55" spans="1:23" ht="15.75">
      <c r="A55" s="89"/>
      <c r="B55" s="44"/>
      <c r="C55" s="708"/>
      <c r="D55" s="105"/>
      <c r="E55" s="105"/>
      <c r="F55" s="105"/>
      <c r="G55" s="105"/>
      <c r="H55" s="105"/>
      <c r="I55" s="105"/>
      <c r="J55" s="105"/>
      <c r="N55" s="5"/>
      <c r="O55" s="45"/>
      <c r="P55" s="203"/>
      <c r="Q55" s="185"/>
      <c r="R55" s="89"/>
      <c r="S55" s="134"/>
      <c r="T55" s="93"/>
      <c r="U55" s="89"/>
      <c r="V55" s="89"/>
      <c r="W55" s="89"/>
    </row>
    <row r="56" spans="1:23" ht="9" customHeight="1">
      <c r="A56" s="89"/>
      <c r="B56" s="44"/>
      <c r="C56" s="708"/>
      <c r="D56" s="105"/>
      <c r="E56" s="105"/>
      <c r="F56" s="105"/>
      <c r="G56" s="105"/>
      <c r="H56" s="105"/>
      <c r="I56" s="105"/>
      <c r="J56" s="105"/>
      <c r="N56" s="5"/>
      <c r="O56" s="45"/>
      <c r="P56" s="203"/>
      <c r="Q56" s="185"/>
      <c r="R56" s="89"/>
      <c r="S56" s="134"/>
      <c r="T56" s="93"/>
      <c r="U56" s="89"/>
      <c r="V56" s="89"/>
      <c r="W56" s="89"/>
    </row>
    <row r="57" spans="1:23" ht="15.75">
      <c r="A57" s="89"/>
      <c r="B57" s="44"/>
      <c r="C57" s="708"/>
      <c r="D57" s="105"/>
      <c r="E57" s="105"/>
      <c r="F57" s="105"/>
      <c r="G57" s="105"/>
      <c r="H57" s="105"/>
      <c r="I57" s="105"/>
      <c r="J57" s="105"/>
      <c r="N57" s="5"/>
      <c r="O57" s="45"/>
      <c r="P57" s="203"/>
      <c r="Q57" s="185"/>
      <c r="R57" s="89"/>
      <c r="S57" s="134"/>
      <c r="T57" s="93"/>
      <c r="U57" s="89"/>
      <c r="V57" s="89"/>
      <c r="W57" s="89"/>
    </row>
    <row r="58" spans="1:23" ht="17.25">
      <c r="A58" s="89"/>
      <c r="B58" s="44"/>
      <c r="C58" s="1311" t="s">
        <v>953</v>
      </c>
      <c r="D58" s="1309"/>
      <c r="E58" s="1309"/>
      <c r="F58" s="1309"/>
      <c r="G58" s="1309"/>
      <c r="H58" s="1309"/>
      <c r="I58" s="1309"/>
      <c r="J58" s="1309"/>
      <c r="K58" s="1310"/>
      <c r="L58" s="1310"/>
      <c r="M58" s="1310"/>
      <c r="N58" s="1310"/>
      <c r="O58" s="45"/>
      <c r="P58" s="203"/>
      <c r="Q58" s="185"/>
      <c r="R58" s="89"/>
      <c r="S58" s="134"/>
      <c r="T58" s="93"/>
      <c r="U58" s="89"/>
      <c r="V58" s="89"/>
      <c r="W58" s="89"/>
    </row>
    <row r="59" spans="1:23" ht="15.75">
      <c r="A59" s="89"/>
      <c r="B59" s="44"/>
      <c r="C59" s="708"/>
      <c r="D59" s="105"/>
      <c r="E59" s="105"/>
      <c r="F59" s="105"/>
      <c r="G59" s="105"/>
      <c r="H59" s="105"/>
      <c r="I59" s="105"/>
      <c r="J59" s="105"/>
      <c r="N59" s="5"/>
      <c r="O59" s="45"/>
      <c r="P59" s="203"/>
      <c r="Q59" s="185"/>
      <c r="R59" s="89"/>
      <c r="S59" s="134"/>
      <c r="T59" s="93"/>
      <c r="U59" s="89"/>
      <c r="V59" s="89"/>
      <c r="W59" s="89"/>
    </row>
    <row r="60" spans="1:23" ht="15.75">
      <c r="A60" s="89"/>
      <c r="B60" s="44"/>
      <c r="C60" s="1236">
        <v>1</v>
      </c>
      <c r="D60" s="1237" t="str">
        <f>IF(C60&gt;1,"portioner","portion ")&amp;" (ca. "&amp;C60*800&amp;" ml.)"</f>
        <v>portion  (ca. 800 ml.)</v>
      </c>
      <c r="E60" s="467"/>
      <c r="F60" s="467"/>
      <c r="G60" s="467"/>
      <c r="H60" s="467"/>
      <c r="I60" s="467"/>
      <c r="J60" s="467"/>
      <c r="N60" s="5"/>
      <c r="O60" s="45"/>
      <c r="P60" s="203"/>
      <c r="Q60" s="185"/>
      <c r="R60" s="89"/>
      <c r="S60" s="134"/>
      <c r="T60" s="93"/>
      <c r="U60" s="89"/>
      <c r="V60" s="89"/>
      <c r="W60" s="89"/>
    </row>
    <row r="61" spans="1:23" ht="15.75">
      <c r="A61" s="89"/>
      <c r="B61" s="44"/>
      <c r="C61" s="708"/>
      <c r="D61" s="105"/>
      <c r="E61" s="105"/>
      <c r="F61" s="105"/>
      <c r="G61" s="105"/>
      <c r="H61" s="105"/>
      <c r="I61" s="105"/>
      <c r="J61" s="105"/>
      <c r="N61" s="5"/>
      <c r="O61" s="45"/>
      <c r="P61" s="203"/>
      <c r="Q61" s="185"/>
      <c r="R61" s="89"/>
      <c r="S61" s="134"/>
      <c r="T61" s="93"/>
      <c r="U61" s="89"/>
      <c r="V61" s="89"/>
      <c r="W61" s="89"/>
    </row>
    <row r="62" spans="1:23" ht="15.75">
      <c r="A62" s="89"/>
      <c r="B62" s="44"/>
      <c r="C62" s="1515">
        <f>2*C60</f>
        <v>2</v>
      </c>
      <c r="D62" s="105" t="str">
        <f>IF(C60&gt;1,"dåser hakkede tomater (blendes).","dåse hakkede tomater (blendes).")</f>
        <v>dåse hakkede tomater (blendes).</v>
      </c>
      <c r="E62" s="105"/>
      <c r="F62" s="105"/>
      <c r="G62" s="105"/>
      <c r="H62" s="105"/>
      <c r="I62" s="105"/>
      <c r="J62" s="105"/>
      <c r="N62" s="5"/>
      <c r="O62" s="45"/>
      <c r="P62" s="203"/>
      <c r="Q62" s="185"/>
      <c r="R62" s="89"/>
      <c r="S62" s="134"/>
      <c r="T62" s="93"/>
      <c r="U62" s="89"/>
      <c r="V62" s="89"/>
      <c r="W62" s="89"/>
    </row>
    <row r="63" spans="1:23" ht="15.75">
      <c r="A63" s="89"/>
      <c r="B63" s="44"/>
      <c r="C63" s="1516">
        <f>5*C60</f>
        <v>5</v>
      </c>
      <c r="D63" s="105" t="s">
        <v>375</v>
      </c>
      <c r="E63" s="105"/>
      <c r="F63" s="105"/>
      <c r="G63" s="105"/>
      <c r="H63" s="105"/>
      <c r="I63" s="105"/>
      <c r="J63" s="105"/>
      <c r="N63" s="5"/>
      <c r="O63" s="45"/>
      <c r="P63" s="203"/>
      <c r="Q63" s="185"/>
      <c r="R63" s="89"/>
      <c r="S63" s="134"/>
      <c r="T63" s="93"/>
      <c r="U63" s="89"/>
      <c r="V63" s="89"/>
      <c r="W63" s="89"/>
    </row>
    <row r="64" spans="1:23" ht="15.75">
      <c r="A64" s="89"/>
      <c r="B64" s="44"/>
      <c r="C64" s="1516">
        <f>3*C60</f>
        <v>3</v>
      </c>
      <c r="D64" s="105" t="s">
        <v>962</v>
      </c>
      <c r="E64" s="105"/>
      <c r="F64" s="105"/>
      <c r="G64" s="105"/>
      <c r="H64" s="105"/>
      <c r="I64" s="105"/>
      <c r="J64" s="105"/>
      <c r="N64" s="5"/>
      <c r="O64" s="45"/>
      <c r="P64" s="203"/>
      <c r="Q64" s="185"/>
      <c r="R64" s="89"/>
      <c r="S64" s="134"/>
      <c r="T64" s="93"/>
      <c r="U64" s="89"/>
      <c r="V64" s="89"/>
      <c r="W64" s="89"/>
    </row>
    <row r="65" spans="1:23" ht="15.75">
      <c r="A65" s="89"/>
      <c r="B65" s="44"/>
      <c r="C65" s="1722">
        <f>0.5*C60</f>
        <v>0.5</v>
      </c>
      <c r="D65" s="105" t="s">
        <v>954</v>
      </c>
      <c r="E65" s="105"/>
      <c r="F65" s="105"/>
      <c r="G65" s="105"/>
      <c r="H65" s="105"/>
      <c r="I65" s="105"/>
      <c r="J65" s="105"/>
      <c r="N65" s="5"/>
      <c r="O65" s="45"/>
      <c r="P65" s="203"/>
      <c r="Q65" s="185"/>
      <c r="R65" s="89"/>
      <c r="S65" s="134"/>
      <c r="T65" s="93"/>
      <c r="U65" s="89"/>
      <c r="V65" s="89"/>
      <c r="W65" s="89"/>
    </row>
    <row r="66" spans="1:23" ht="15.75">
      <c r="A66" s="89"/>
      <c r="B66" s="44"/>
      <c r="C66" s="1517">
        <f>ROUND(2*C60,1)</f>
        <v>2</v>
      </c>
      <c r="D66" s="105" t="s">
        <v>963</v>
      </c>
      <c r="E66" s="105"/>
      <c r="F66" s="1788" t="s">
        <v>978</v>
      </c>
      <c r="G66" s="105"/>
      <c r="H66" s="105" t="str">
        <f>ROUND(0.8*C60,1)&amp;" g hvidløgspulver"</f>
        <v>0,8 g hvidløgspulver</v>
      </c>
      <c r="I66" s="105"/>
      <c r="J66" s="105"/>
      <c r="N66" s="5"/>
      <c r="O66" s="45"/>
      <c r="P66" s="203"/>
      <c r="Q66" s="185"/>
      <c r="R66" s="89"/>
      <c r="S66" s="134"/>
      <c r="T66" s="93"/>
      <c r="U66" s="89"/>
      <c r="V66" s="89"/>
      <c r="W66" s="89"/>
    </row>
    <row r="67" spans="1:23" ht="15.75">
      <c r="A67" s="89"/>
      <c r="B67" s="44"/>
      <c r="C67" s="1518">
        <f>0.5*C60</f>
        <v>0.5</v>
      </c>
      <c r="D67" s="105" t="s">
        <v>955</v>
      </c>
      <c r="E67" s="105"/>
      <c r="F67" s="105"/>
      <c r="G67" s="105"/>
      <c r="H67" s="105"/>
      <c r="I67" s="105"/>
      <c r="J67" s="105"/>
      <c r="N67" s="5"/>
      <c r="O67" s="45"/>
      <c r="P67" s="203"/>
      <c r="Q67" s="185"/>
      <c r="R67" s="89"/>
      <c r="S67" s="134"/>
      <c r="T67" s="93"/>
      <c r="U67" s="89"/>
      <c r="V67" s="89"/>
      <c r="W67" s="89"/>
    </row>
    <row r="68" spans="1:23" ht="15.75">
      <c r="A68" s="89"/>
      <c r="B68" s="44"/>
      <c r="C68" s="1518" t="str">
        <f>0.5*C60&amp;"-"&amp;1*C60&amp;" g."</f>
        <v>0,5-1 g.</v>
      </c>
      <c r="D68" s="105" t="s">
        <v>964</v>
      </c>
      <c r="E68" s="105"/>
      <c r="F68" s="105"/>
      <c r="G68" s="105"/>
      <c r="H68" s="105"/>
      <c r="I68" s="105"/>
      <c r="J68" s="105"/>
      <c r="N68" s="5"/>
      <c r="O68" s="45"/>
      <c r="P68" s="203"/>
      <c r="Q68" s="185"/>
      <c r="R68" s="89"/>
      <c r="S68" s="89"/>
      <c r="T68" s="89"/>
      <c r="U68" s="89"/>
      <c r="V68" s="89"/>
      <c r="W68" s="89"/>
    </row>
    <row r="69" spans="1:23" ht="15.75">
      <c r="A69" s="89"/>
      <c r="B69" s="44"/>
      <c r="C69" s="708"/>
      <c r="D69" s="105"/>
      <c r="E69" s="105"/>
      <c r="F69" s="105"/>
      <c r="G69" s="105"/>
      <c r="H69" s="105"/>
      <c r="I69" s="105"/>
      <c r="J69" s="105"/>
      <c r="N69" s="5"/>
      <c r="O69" s="45"/>
      <c r="P69" s="203"/>
      <c r="Q69" s="185"/>
      <c r="R69" s="89"/>
      <c r="S69" s="89"/>
      <c r="T69" s="89"/>
      <c r="U69" s="89"/>
      <c r="V69" s="89"/>
      <c r="W69" s="89"/>
    </row>
    <row r="70" spans="1:23" ht="14.25" customHeight="1">
      <c r="A70" s="89"/>
      <c r="B70" s="44"/>
      <c r="C70" s="1519" t="s">
        <v>959</v>
      </c>
      <c r="D70" s="105"/>
      <c r="E70" s="105"/>
      <c r="F70" s="105"/>
      <c r="G70" s="105"/>
      <c r="H70" s="105"/>
      <c r="I70" s="105"/>
      <c r="J70" s="105"/>
      <c r="N70" s="5"/>
      <c r="O70" s="45"/>
      <c r="P70" s="203"/>
      <c r="Q70" s="185"/>
      <c r="R70" s="89"/>
      <c r="S70" s="89"/>
      <c r="T70" s="89"/>
      <c r="U70" s="89"/>
      <c r="V70" s="89"/>
      <c r="W70" s="89"/>
    </row>
    <row r="71" spans="1:23" ht="15.75">
      <c r="A71" s="89"/>
      <c r="B71" s="44"/>
      <c r="C71" s="1519" t="s">
        <v>966</v>
      </c>
      <c r="D71" s="105"/>
      <c r="E71" s="105"/>
      <c r="F71" s="105"/>
      <c r="G71" s="105"/>
      <c r="H71" s="105"/>
      <c r="I71" s="105"/>
      <c r="J71" s="105"/>
      <c r="N71" s="5"/>
      <c r="O71" s="45"/>
      <c r="P71" s="203"/>
      <c r="Q71" s="185"/>
      <c r="R71" s="89"/>
      <c r="S71" s="89"/>
      <c r="T71" s="89"/>
      <c r="U71" s="89"/>
      <c r="V71" s="89"/>
      <c r="W71" s="89"/>
    </row>
    <row r="72" spans="1:23" ht="15.75">
      <c r="A72" s="89"/>
      <c r="B72" s="44"/>
      <c r="C72" s="1519" t="s">
        <v>960</v>
      </c>
      <c r="D72" s="105"/>
      <c r="E72" s="105"/>
      <c r="F72" s="105"/>
      <c r="G72" s="105"/>
      <c r="H72" s="105"/>
      <c r="I72" s="105"/>
      <c r="J72" s="105"/>
      <c r="O72" s="45"/>
      <c r="P72" s="203"/>
      <c r="Q72" s="185"/>
      <c r="R72" s="89"/>
      <c r="S72" s="89"/>
      <c r="T72" s="89"/>
      <c r="U72" s="89"/>
      <c r="V72" s="89"/>
      <c r="W72" s="89"/>
    </row>
    <row r="73" spans="1:23" ht="15.75">
      <c r="A73" s="89"/>
      <c r="B73" s="44"/>
      <c r="C73" s="1487"/>
      <c r="D73" s="1488"/>
      <c r="E73" s="5"/>
      <c r="F73" s="5"/>
      <c r="G73" s="5"/>
      <c r="H73" s="5"/>
      <c r="I73" s="5"/>
      <c r="J73" s="5"/>
      <c r="K73" s="5"/>
      <c r="M73" s="769"/>
      <c r="N73" s="1489"/>
      <c r="O73" s="1490"/>
      <c r="P73" s="203"/>
      <c r="Q73" s="185"/>
      <c r="R73" s="89"/>
      <c r="S73" s="89"/>
      <c r="T73" s="89"/>
      <c r="U73" s="89"/>
      <c r="V73" s="89"/>
      <c r="W73" s="89"/>
    </row>
    <row r="74" spans="1:23" ht="15.75">
      <c r="A74" s="89"/>
      <c r="B74" s="47"/>
      <c r="C74" s="1451"/>
      <c r="D74" s="1452"/>
      <c r="E74" s="3"/>
      <c r="F74" s="3"/>
      <c r="G74" s="3"/>
      <c r="H74" s="3"/>
      <c r="I74" s="3"/>
      <c r="J74" s="3"/>
      <c r="K74" s="3"/>
      <c r="L74" s="82"/>
      <c r="M74" s="760"/>
      <c r="N74" s="1453" t="s">
        <v>523</v>
      </c>
      <c r="O74" s="761"/>
      <c r="P74" s="203"/>
      <c r="Q74" s="185"/>
      <c r="R74" s="89"/>
      <c r="S74" s="89"/>
      <c r="T74" s="89"/>
      <c r="U74" s="89"/>
      <c r="V74" s="89"/>
      <c r="W74" s="89"/>
    </row>
    <row r="75" spans="1:23">
      <c r="A75" s="89"/>
      <c r="B75" s="89"/>
      <c r="C75" s="89"/>
      <c r="D75" s="89"/>
      <c r="E75" s="89"/>
      <c r="F75" s="89"/>
      <c r="G75" s="89"/>
      <c r="H75" s="89"/>
      <c r="I75" s="89"/>
      <c r="J75" s="89"/>
      <c r="K75" s="89"/>
      <c r="L75" s="89"/>
      <c r="M75" s="89"/>
      <c r="N75" s="89"/>
      <c r="O75" s="89"/>
      <c r="P75" s="89"/>
      <c r="Q75" s="89"/>
      <c r="R75" s="89"/>
      <c r="S75" s="89"/>
      <c r="T75" s="89"/>
      <c r="U75" s="89"/>
      <c r="V75" s="89"/>
      <c r="W75" s="89"/>
    </row>
  </sheetData>
  <sheetProtection algorithmName="SHA-512" hashValue="dxta2MiFHWxKhKKqsvyQgBEuyJ7krBGfRT4sbCJBToeYmUHCKwdyGqqJ25iI3BVWDpSAFVh8FZ3zyt1SOzt3ug==" saltValue="UjzEX8cgEOZ0CJfPazWVCw==" spinCount="100000" sheet="1" objects="1" scenarios="1" selectLockedCells="1"/>
  <mergeCells count="17">
    <mergeCell ref="M50:N50"/>
    <mergeCell ref="T22:V22"/>
    <mergeCell ref="R5:W6"/>
    <mergeCell ref="U7:W7"/>
    <mergeCell ref="U8:W8"/>
    <mergeCell ref="V11:W11"/>
    <mergeCell ref="T21:V21"/>
    <mergeCell ref="M31:N31"/>
    <mergeCell ref="C15:K17"/>
    <mergeCell ref="C2:M3"/>
    <mergeCell ref="C4:E4"/>
    <mergeCell ref="L5:P7"/>
    <mergeCell ref="L33:N33"/>
    <mergeCell ref="I7:K8"/>
    <mergeCell ref="J11:K11"/>
    <mergeCell ref="L19:N19"/>
    <mergeCell ref="L18:N18"/>
  </mergeCells>
  <dataValidations count="4">
    <dataValidation type="list" allowBlank="1" showInputMessage="1" showErrorMessage="1" sqref="C60" xr:uid="{61D7300D-CA95-4A45-807A-18FA2A608C1D}">
      <formula1>"1,2,3,4,5,6,7,8,9,10"</formula1>
    </dataValidation>
    <dataValidation type="list" allowBlank="1" sqref="T8" xr:uid="{BD8E3082-5517-44B5-9803-33C907AAC3B2}">
      <formula1>"11:30,12:00,12:30,13:00,17:00,17:30,18:00,18:30,19:00,19:30"</formula1>
    </dataValidation>
    <dataValidation type="list" allowBlank="1" showInputMessage="1" showErrorMessage="1" sqref="J11:K11" xr:uid="{7389B3ED-924F-42C5-AC9E-58D30D73040B}">
      <formula1>$AB$8:$AB$10</formula1>
    </dataValidation>
    <dataValidation type="list" allowBlank="1" showErrorMessage="1" sqref="T7" xr:uid="{8A58D4D6-D8FE-4209-9590-386A8CB2159B}">
      <formula1>"Mandag,Tirsdag,Onsdag,Torsdag,Fredag,Lørdag,Søndag"</formula1>
    </dataValidation>
  </dataValidations>
  <hyperlinks>
    <hyperlink ref="C4" r:id="rId1" xr:uid="{EF21BF17-AAF0-42B9-9335-AA6DF0E7E6F2}"/>
  </hyperlinks>
  <printOptions horizontalCentered="1"/>
  <pageMargins left="0.19685039370078741" right="0.19685039370078741" top="0.39370078740157483" bottom="0.74803149606299213" header="0.31496062992125984" footer="0.31496062992125984"/>
  <pageSetup paperSize="9" scale="88"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A466C-4271-469F-920C-761588684478}">
  <sheetPr codeName="Ark26">
    <tabColor rgb="FFFFFFCC"/>
    <pageSetUpPr fitToPage="1"/>
  </sheetPr>
  <dimension ref="A1:AD72"/>
  <sheetViews>
    <sheetView showGridLines="0" showRowColHeaders="0" zoomScaleNormal="100" workbookViewId="0">
      <pane ySplit="4" topLeftCell="A5" activePane="bottomLeft" state="frozen"/>
      <selection activeCell="C2" sqref="C2:I3"/>
      <selection pane="bottomLeft" activeCell="S8" sqref="S8"/>
    </sheetView>
  </sheetViews>
  <sheetFormatPr defaultColWidth="0" defaultRowHeight="16.5" customHeight="1" zeroHeight="1"/>
  <cols>
    <col min="1" max="1" width="3.5703125" customWidth="1"/>
    <col min="2" max="3" width="7.140625" customWidth="1"/>
    <col min="4" max="4" width="15.7109375" customWidth="1"/>
    <col min="5" max="5" width="5.5703125" customWidth="1"/>
    <col min="6" max="6" width="6.85546875" customWidth="1"/>
    <col min="7" max="7" width="3.140625" customWidth="1"/>
    <col min="8" max="8" width="7.140625" customWidth="1"/>
    <col min="9" max="9" width="8.28515625" customWidth="1"/>
    <col min="10" max="10" width="13.140625" customWidth="1"/>
    <col min="11" max="11" width="10.140625" customWidth="1"/>
    <col min="12" max="12" width="11" customWidth="1"/>
    <col min="13" max="13" width="13.28515625" customWidth="1"/>
    <col min="14" max="14" width="6" customWidth="1"/>
    <col min="15" max="16" width="3.140625" customWidth="1"/>
    <col min="17" max="17" width="3" customWidth="1"/>
    <col min="18" max="18" width="8" customWidth="1"/>
    <col min="19" max="19" width="19.85546875" customWidth="1"/>
    <col min="20" max="20" width="8.140625" customWidth="1"/>
    <col min="21" max="21" width="8" customWidth="1"/>
    <col min="22" max="22" width="3.5703125" customWidth="1"/>
    <col min="23" max="23" width="9.140625" hidden="1" customWidth="1"/>
    <col min="24" max="24" width="9.5703125" hidden="1" customWidth="1"/>
    <col min="25" max="25" width="22" hidden="1" customWidth="1"/>
    <col min="26" max="26" width="8.7109375" hidden="1" customWidth="1"/>
    <col min="27" max="27" width="11.140625" hidden="1" customWidth="1"/>
    <col min="28" max="30" width="8.7109375" hidden="1" customWidth="1"/>
    <col min="31" max="16384" width="9.140625" hidden="1"/>
  </cols>
  <sheetData>
    <row r="1" spans="1:29" ht="15" customHeight="1">
      <c r="A1" s="217"/>
      <c r="B1" s="217"/>
      <c r="C1" s="218"/>
      <c r="D1" s="218"/>
      <c r="E1" s="218"/>
      <c r="F1" s="218"/>
      <c r="G1" s="218"/>
      <c r="H1" s="218"/>
      <c r="I1" s="218"/>
      <c r="J1" s="218"/>
      <c r="K1" s="218"/>
      <c r="L1" s="218"/>
      <c r="M1" s="217"/>
      <c r="N1" s="217"/>
      <c r="O1" s="217"/>
      <c r="P1" s="217"/>
      <c r="Q1" s="217"/>
      <c r="R1" s="217"/>
      <c r="S1" s="217"/>
      <c r="T1" s="217"/>
      <c r="U1" s="217"/>
      <c r="V1" s="217"/>
    </row>
    <row r="2" spans="1:29" ht="15" customHeight="1">
      <c r="A2" s="217"/>
      <c r="B2" s="217"/>
      <c r="C2" s="1970" t="s">
        <v>730</v>
      </c>
      <c r="D2" s="1970"/>
      <c r="E2" s="1970"/>
      <c r="F2" s="1970"/>
      <c r="G2" s="1970"/>
      <c r="H2" s="1970"/>
      <c r="I2" s="1970"/>
      <c r="J2" s="1970"/>
      <c r="K2" s="1970"/>
      <c r="L2" s="1970"/>
      <c r="M2" s="1970"/>
      <c r="N2" s="217"/>
      <c r="O2" s="217"/>
      <c r="P2" s="217"/>
      <c r="Q2" s="217"/>
      <c r="R2" s="217"/>
      <c r="S2" s="219"/>
      <c r="T2" s="217"/>
      <c r="U2" s="217"/>
      <c r="V2" s="217"/>
    </row>
    <row r="3" spans="1:29" ht="15" customHeight="1">
      <c r="A3" s="217"/>
      <c r="B3" s="217"/>
      <c r="C3" s="1970"/>
      <c r="D3" s="1970"/>
      <c r="E3" s="1970"/>
      <c r="F3" s="1970"/>
      <c r="G3" s="1970"/>
      <c r="H3" s="1970"/>
      <c r="I3" s="1970"/>
      <c r="J3" s="1970"/>
      <c r="K3" s="1970"/>
      <c r="L3" s="1970"/>
      <c r="M3" s="1970"/>
      <c r="N3" s="217"/>
      <c r="O3" s="217"/>
      <c r="P3" s="217"/>
      <c r="Q3" s="217"/>
      <c r="R3" s="217"/>
      <c r="S3" s="217"/>
      <c r="T3" s="217"/>
      <c r="U3" s="217"/>
      <c r="V3" s="217"/>
    </row>
    <row r="4" spans="1:29" ht="15" customHeight="1" thickBot="1">
      <c r="A4" s="253"/>
      <c r="B4" s="253"/>
      <c r="C4" s="346" t="s">
        <v>729</v>
      </c>
      <c r="D4" s="254"/>
      <c r="E4" s="254"/>
      <c r="F4" s="254"/>
      <c r="G4" s="254"/>
      <c r="H4" s="254"/>
      <c r="I4" s="254"/>
      <c r="J4" s="254"/>
      <c r="K4" s="254"/>
      <c r="L4" s="254"/>
      <c r="M4" s="253"/>
      <c r="N4" s="253"/>
      <c r="O4" s="253"/>
      <c r="P4" s="253"/>
      <c r="Q4" s="253"/>
      <c r="R4" s="253"/>
      <c r="S4" s="253"/>
      <c r="T4" s="253"/>
      <c r="U4" s="253"/>
      <c r="V4" s="253"/>
    </row>
    <row r="5" spans="1:29" thickTop="1">
      <c r="A5" s="104"/>
      <c r="B5" s="104"/>
      <c r="C5" s="104"/>
      <c r="D5" s="104"/>
      <c r="E5" s="104"/>
      <c r="F5" s="89"/>
      <c r="G5" s="89"/>
      <c r="H5" s="89"/>
      <c r="I5" s="104"/>
      <c r="J5" s="104"/>
      <c r="K5" s="104"/>
      <c r="L5" s="104"/>
      <c r="M5" s="104"/>
      <c r="N5" s="104"/>
      <c r="O5" s="104"/>
      <c r="P5" s="203"/>
      <c r="Q5" s="1923" t="s">
        <v>1075</v>
      </c>
      <c r="R5" s="1923"/>
      <c r="S5" s="1923"/>
      <c r="T5" s="1923"/>
      <c r="U5" s="1923"/>
      <c r="V5" s="1923"/>
    </row>
    <row r="6" spans="1:29" ht="8.25" customHeight="1" thickBot="1">
      <c r="A6" s="104"/>
      <c r="B6" s="104"/>
      <c r="C6" s="106"/>
      <c r="D6" s="106"/>
      <c r="E6" s="104"/>
      <c r="F6" s="89"/>
      <c r="G6" s="89"/>
      <c r="H6" s="89"/>
      <c r="I6" s="104"/>
      <c r="J6" s="104"/>
      <c r="K6" s="104"/>
      <c r="L6" s="104"/>
      <c r="M6" s="104"/>
      <c r="N6" s="104"/>
      <c r="O6" s="104"/>
      <c r="P6" s="203"/>
      <c r="Q6" s="1924"/>
      <c r="R6" s="1924"/>
      <c r="S6" s="1924"/>
      <c r="T6" s="1924"/>
      <c r="U6" s="1924"/>
      <c r="V6" s="1924"/>
    </row>
    <row r="7" spans="1:29" ht="17.25" thickTop="1" thickBot="1">
      <c r="A7" s="104"/>
      <c r="B7" s="166" t="s">
        <v>28</v>
      </c>
      <c r="C7" s="163"/>
      <c r="D7" s="196"/>
      <c r="E7" s="89"/>
      <c r="F7" s="89"/>
      <c r="G7" s="89"/>
      <c r="H7" s="89"/>
      <c r="I7" s="104"/>
      <c r="J7" s="104"/>
      <c r="K7" s="104"/>
      <c r="L7" s="118" t="s">
        <v>445</v>
      </c>
      <c r="M7" s="103"/>
      <c r="N7" s="104"/>
      <c r="O7" s="104"/>
      <c r="P7" s="203"/>
      <c r="Q7" s="89"/>
      <c r="R7" s="110" t="s">
        <v>1289</v>
      </c>
      <c r="S7" s="1845" t="s">
        <v>1288</v>
      </c>
      <c r="T7" s="1925"/>
      <c r="U7" s="1925"/>
      <c r="V7" s="1925"/>
      <c r="X7" s="280" t="s">
        <v>418</v>
      </c>
      <c r="Y7" s="281"/>
      <c r="AA7" s="43" t="s">
        <v>299</v>
      </c>
      <c r="AB7" s="53" t="s">
        <v>809</v>
      </c>
      <c r="AC7" s="911" t="s">
        <v>756</v>
      </c>
    </row>
    <row r="8" spans="1:29" ht="17.25" thickTop="1" thickBot="1">
      <c r="A8" s="104"/>
      <c r="B8" s="197">
        <f>1-B9</f>
        <v>0.90769230769230769</v>
      </c>
      <c r="C8" s="162" t="s">
        <v>645</v>
      </c>
      <c r="D8" s="200"/>
      <c r="E8" s="89"/>
      <c r="F8" s="110" t="s">
        <v>372</v>
      </c>
      <c r="G8" s="330"/>
      <c r="H8" s="207"/>
      <c r="I8" s="337">
        <v>4</v>
      </c>
      <c r="J8" s="273" t="s">
        <v>386</v>
      </c>
      <c r="K8" s="104"/>
      <c r="L8" s="208">
        <f>X8</f>
        <v>0.90769230769230769</v>
      </c>
      <c r="M8" s="206" t="str">
        <f>C8</f>
        <v>hvedemel tipo 00</v>
      </c>
      <c r="N8" s="104"/>
      <c r="O8" s="104"/>
      <c r="P8" s="203"/>
      <c r="Q8" s="89"/>
      <c r="R8" s="110" t="s">
        <v>1060</v>
      </c>
      <c r="S8" s="1621">
        <v>0.75</v>
      </c>
      <c r="T8" s="1926" t="s">
        <v>644</v>
      </c>
      <c r="U8" s="1926"/>
      <c r="V8" s="1926"/>
      <c r="X8" s="287">
        <f>1-X9</f>
        <v>0.90769230769230769</v>
      </c>
      <c r="Y8" s="288" t="str">
        <f>C8</f>
        <v>hvedemel tipo 00</v>
      </c>
      <c r="AA8" s="44" t="s">
        <v>376</v>
      </c>
      <c r="AB8" s="45" t="s">
        <v>376</v>
      </c>
      <c r="AC8" s="912">
        <v>1</v>
      </c>
    </row>
    <row r="9" spans="1:29" ht="17.25" thickTop="1" thickBot="1">
      <c r="A9" s="104"/>
      <c r="B9" s="197">
        <v>9.2307692307692299E-2</v>
      </c>
      <c r="C9" s="162" t="s">
        <v>728</v>
      </c>
      <c r="D9" s="200"/>
      <c r="E9" s="89"/>
      <c r="F9" s="110" t="s">
        <v>373</v>
      </c>
      <c r="G9" s="330"/>
      <c r="H9" s="207"/>
      <c r="I9" s="338">
        <v>270</v>
      </c>
      <c r="J9" s="274" t="s">
        <v>369</v>
      </c>
      <c r="K9" s="104"/>
      <c r="L9" s="334"/>
      <c r="M9" s="206" t="s">
        <v>727</v>
      </c>
      <c r="N9" s="104"/>
      <c r="O9" s="104"/>
      <c r="P9" s="203"/>
      <c r="Q9" s="89"/>
      <c r="R9" s="104"/>
      <c r="S9" s="1811">
        <f ca="1">TODAY()+MOD(MATCH(S7,{"Mandag";"Tirsdag";"Onsdag";"Torsdag";"Fredag";"Lørdag";"Søndag"},0)-WEEKDAY(TODAY(),2)+7,7)</f>
        <v>45921</v>
      </c>
      <c r="T9" s="1611"/>
      <c r="U9" s="207"/>
      <c r="V9" s="103"/>
      <c r="X9" s="284">
        <f>IF(I13="Nej",0,IF(L9="",B9,L9))</f>
        <v>9.2307692307692299E-2</v>
      </c>
      <c r="Y9" s="288" t="str">
        <f>C9</f>
        <v>fintmalet fuldkornsmel</v>
      </c>
      <c r="AA9" s="44" t="s">
        <v>807</v>
      </c>
      <c r="AB9" s="45" t="s">
        <v>385</v>
      </c>
      <c r="AC9" s="913">
        <v>4</v>
      </c>
    </row>
    <row r="10" spans="1:29" ht="17.25" thickTop="1" thickBot="1">
      <c r="A10" s="104"/>
      <c r="B10" s="197">
        <v>0.66153846153846096</v>
      </c>
      <c r="C10" s="162" t="s">
        <v>1026</v>
      </c>
      <c r="D10" s="200"/>
      <c r="E10" s="89"/>
      <c r="F10" s="475"/>
      <c r="G10" s="330"/>
      <c r="H10" s="207"/>
      <c r="I10" s="104"/>
      <c r="J10" s="274"/>
      <c r="K10" s="104"/>
      <c r="L10" s="334"/>
      <c r="M10" s="206" t="str">
        <f>C10</f>
        <v>hydrering</v>
      </c>
      <c r="N10" s="104"/>
      <c r="O10" s="104"/>
      <c r="P10" s="203"/>
      <c r="Q10" s="89"/>
      <c r="R10" s="104"/>
      <c r="S10" s="103"/>
      <c r="T10" s="1611"/>
      <c r="U10" s="207"/>
      <c r="V10" s="103"/>
      <c r="X10" s="284">
        <f>IF(L10="",B10,L10)</f>
        <v>0.66153846153846096</v>
      </c>
      <c r="Y10" s="288" t="str">
        <f>C10</f>
        <v>hydrering</v>
      </c>
      <c r="AA10" s="44" t="s">
        <v>806</v>
      </c>
      <c r="AB10" s="45" t="s">
        <v>385</v>
      </c>
      <c r="AC10" s="913">
        <v>3</v>
      </c>
    </row>
    <row r="11" spans="1:29" ht="17.25" customHeight="1" thickTop="1" thickBot="1">
      <c r="A11" s="104"/>
      <c r="B11" s="201">
        <v>3.0769230769230702E-2</v>
      </c>
      <c r="C11" s="162" t="s">
        <v>646</v>
      </c>
      <c r="D11" s="200"/>
      <c r="E11" s="89"/>
      <c r="F11" s="476" t="s">
        <v>382</v>
      </c>
      <c r="G11" s="477"/>
      <c r="H11" s="478"/>
      <c r="I11" s="323">
        <f>I8*I9</f>
        <v>1080</v>
      </c>
      <c r="J11" s="479" t="s">
        <v>369</v>
      </c>
      <c r="K11" s="104"/>
      <c r="L11" s="334"/>
      <c r="M11" s="206" t="str">
        <f>C11</f>
        <v>olivenolie</v>
      </c>
      <c r="N11" s="104"/>
      <c r="O11" s="104"/>
      <c r="P11" s="203"/>
      <c r="Q11" s="89"/>
      <c r="R11" s="1607" t="s">
        <v>1089</v>
      </c>
      <c r="S11" s="1608"/>
      <c r="T11" s="1633">
        <v>3.4722222222222224E-2</v>
      </c>
      <c r="U11" s="1927" t="s">
        <v>644</v>
      </c>
      <c r="V11" s="1927"/>
      <c r="X11" s="284">
        <f>IF(L11="",B11,L11)</f>
        <v>3.0769230769230702E-2</v>
      </c>
      <c r="Y11" s="288" t="str">
        <f>C11</f>
        <v>olivenolie</v>
      </c>
      <c r="AA11" s="44" t="s">
        <v>805</v>
      </c>
      <c r="AB11" s="45" t="s">
        <v>808</v>
      </c>
      <c r="AC11" s="914">
        <v>3</v>
      </c>
    </row>
    <row r="12" spans="1:29" ht="17.25" customHeight="1" thickTop="1" thickBot="1">
      <c r="A12" s="104"/>
      <c r="B12" s="201">
        <v>2.6153846153846201E-2</v>
      </c>
      <c r="C12" s="162" t="s">
        <v>375</v>
      </c>
      <c r="D12" s="200"/>
      <c r="E12" s="89"/>
      <c r="F12" s="475"/>
      <c r="G12" s="112"/>
      <c r="H12" s="207"/>
      <c r="I12" s="104"/>
      <c r="J12" s="274"/>
      <c r="K12" s="104"/>
      <c r="L12" s="334"/>
      <c r="M12" s="206" t="str">
        <f>C12</f>
        <v>salt</v>
      </c>
      <c r="N12" s="104"/>
      <c r="O12" s="104"/>
      <c r="P12" s="203"/>
      <c r="Q12" s="89"/>
      <c r="R12" s="110" t="s">
        <v>1131</v>
      </c>
      <c r="S12" s="1609"/>
      <c r="T12" s="1628">
        <v>4.1666666666666664E-2</v>
      </c>
      <c r="U12" s="1031" t="s">
        <v>644</v>
      </c>
      <c r="V12" s="1031"/>
      <c r="X12" s="284">
        <f>IF(L12="",B12,L12)</f>
        <v>2.6153846153846201E-2</v>
      </c>
      <c r="Y12" s="288" t="str">
        <f>C12</f>
        <v>salt</v>
      </c>
      <c r="AA12" s="909" t="s">
        <v>764</v>
      </c>
      <c r="AB12" s="910" t="str">
        <f>VLOOKUP(M13,AA8:AB11,2,FALSE)</f>
        <v>frisk gær</v>
      </c>
      <c r="AC12" s="921">
        <f>VLOOKUP(M13,AA8:AC11,3,FALSE)</f>
        <v>1</v>
      </c>
    </row>
    <row r="13" spans="1:29" ht="17.25" thickTop="1" thickBot="1">
      <c r="A13" s="104"/>
      <c r="B13" s="1219">
        <v>4.6153846153846002E-3</v>
      </c>
      <c r="C13" s="162" t="s">
        <v>376</v>
      </c>
      <c r="D13" s="200"/>
      <c r="E13" s="89"/>
      <c r="F13" s="475" t="s">
        <v>725</v>
      </c>
      <c r="G13" s="89"/>
      <c r="H13" s="89"/>
      <c r="I13" s="337" t="s">
        <v>726</v>
      </c>
      <c r="J13" s="274"/>
      <c r="K13" s="104"/>
      <c r="L13" s="1728"/>
      <c r="M13" s="822" t="s">
        <v>376</v>
      </c>
      <c r="N13" s="1879">
        <f>IF(M13&lt;&gt;"frisk gær",X13,IF(L13="",B13,""))</f>
        <v>4.6153846153846002E-3</v>
      </c>
      <c r="O13" s="1879"/>
      <c r="P13" s="203"/>
      <c r="Q13" s="89"/>
      <c r="R13" s="475" t="s">
        <v>1132</v>
      </c>
      <c r="S13" s="1610"/>
      <c r="T13" s="1629">
        <v>2.0833333333333332E-2</v>
      </c>
      <c r="U13" s="1031" t="s">
        <v>644</v>
      </c>
      <c r="V13" s="1031"/>
      <c r="X13" s="284">
        <f>IF(M13="frisk gær",IF(L13="",B13,L13),IF(L13="",B13,L13)/AC12)</f>
        <v>4.6153846153846002E-3</v>
      </c>
      <c r="Y13" s="288" t="str">
        <f>AB12</f>
        <v>frisk gær</v>
      </c>
    </row>
    <row r="14" spans="1:29" ht="17.25" thickTop="1" thickBot="1">
      <c r="A14" s="104"/>
      <c r="B14" s="786">
        <f>IF(I14="Nej",0,2.92307692307692%)</f>
        <v>2.9230769230769199E-2</v>
      </c>
      <c r="C14" s="165" t="s">
        <v>1248</v>
      </c>
      <c r="D14" s="202"/>
      <c r="E14" s="89"/>
      <c r="F14" s="475" t="s">
        <v>1025</v>
      </c>
      <c r="G14" s="89"/>
      <c r="H14" s="89"/>
      <c r="I14" s="338" t="s">
        <v>726</v>
      </c>
      <c r="J14" s="274"/>
      <c r="K14" s="104"/>
      <c r="L14" s="335"/>
      <c r="M14" s="206" t="str">
        <f>C14</f>
        <v>rørsukker</v>
      </c>
      <c r="N14" s="104"/>
      <c r="O14" s="104"/>
      <c r="P14" s="203"/>
      <c r="Q14" s="89"/>
      <c r="R14" s="475" t="s">
        <v>1134</v>
      </c>
      <c r="S14" s="1610"/>
      <c r="T14" s="1580">
        <v>0.69791666666666663</v>
      </c>
      <c r="U14" s="1031" t="s">
        <v>644</v>
      </c>
      <c r="V14" s="1031"/>
      <c r="X14" s="284">
        <f>IF(L14="",B14,L14)</f>
        <v>2.9230769230769199E-2</v>
      </c>
      <c r="Y14" s="288" t="str">
        <f>C14</f>
        <v>rørsukker</v>
      </c>
    </row>
    <row r="15" spans="1:29" ht="15.75">
      <c r="A15" s="104"/>
      <c r="B15" s="109"/>
      <c r="C15" s="104"/>
      <c r="D15" s="104"/>
      <c r="E15" s="104"/>
      <c r="F15" s="785"/>
      <c r="G15" s="785"/>
      <c r="H15" s="104"/>
      <c r="I15" s="104"/>
      <c r="J15" s="104"/>
      <c r="K15" s="104"/>
      <c r="L15" s="210"/>
      <c r="M15" s="104"/>
      <c r="N15" s="784"/>
      <c r="O15" s="104"/>
      <c r="P15" s="203"/>
      <c r="Q15" s="185"/>
      <c r="R15" s="787"/>
      <c r="S15" s="89"/>
      <c r="T15" s="89"/>
      <c r="U15" s="89"/>
      <c r="V15" s="89"/>
      <c r="X15" s="329"/>
    </row>
    <row r="16" spans="1:29" ht="15.75">
      <c r="A16" s="104"/>
      <c r="B16" s="109"/>
      <c r="C16" s="104"/>
      <c r="D16" s="104"/>
      <c r="E16" s="104"/>
      <c r="F16" s="785"/>
      <c r="G16" s="104"/>
      <c r="H16" s="104"/>
      <c r="I16" s="104"/>
      <c r="J16" s="104"/>
      <c r="K16" s="104"/>
      <c r="L16" s="210"/>
      <c r="M16" s="104"/>
      <c r="N16" s="784"/>
      <c r="O16" s="104"/>
      <c r="P16" s="203"/>
      <c r="Q16" s="89"/>
      <c r="R16" s="1607" t="str">
        <f ca="1">R23&amp;"  - Tilberedning"</f>
        <v>Dag 2  - Tilberedning</v>
      </c>
      <c r="S16" s="1608"/>
      <c r="T16" s="1633">
        <v>6.9444444444444441E-3</v>
      </c>
      <c r="U16" s="1927" t="s">
        <v>644</v>
      </c>
      <c r="V16" s="1927"/>
    </row>
    <row r="17" spans="1:22" ht="15.75">
      <c r="A17" s="89"/>
      <c r="B17" s="89"/>
      <c r="C17" s="89"/>
      <c r="D17" s="89"/>
      <c r="E17" s="89"/>
      <c r="F17" s="89"/>
      <c r="G17" s="89"/>
      <c r="H17" s="89"/>
      <c r="I17" s="89"/>
      <c r="J17" s="89"/>
      <c r="K17" s="89"/>
      <c r="L17" s="89"/>
      <c r="M17" s="89"/>
      <c r="N17" s="89"/>
      <c r="O17" s="89"/>
      <c r="P17" s="178"/>
      <c r="Q17" s="89"/>
      <c r="R17" s="475" t="s">
        <v>1140</v>
      </c>
      <c r="S17" s="104"/>
      <c r="T17" s="1612">
        <v>1.0416666666666666E-2</v>
      </c>
      <c r="U17" s="1031" t="s">
        <v>644</v>
      </c>
      <c r="V17" s="1600"/>
    </row>
    <row r="18" spans="1:22" ht="15" customHeight="1">
      <c r="A18" s="89"/>
      <c r="B18" s="849"/>
      <c r="C18" s="757"/>
      <c r="D18" s="757"/>
      <c r="E18" s="757"/>
      <c r="F18" s="757"/>
      <c r="G18" s="757"/>
      <c r="H18" s="757"/>
      <c r="I18" s="757"/>
      <c r="J18" s="757"/>
      <c r="K18" s="757"/>
      <c r="L18" s="9"/>
      <c r="M18" s="9"/>
      <c r="N18" s="9"/>
      <c r="O18" s="10"/>
      <c r="P18" s="178"/>
      <c r="Q18" s="89"/>
      <c r="R18" s="475" t="s">
        <v>1133</v>
      </c>
      <c r="S18" s="104"/>
      <c r="T18" s="1579">
        <v>0.125</v>
      </c>
      <c r="U18" s="1031" t="s">
        <v>644</v>
      </c>
      <c r="V18" s="1600"/>
    </row>
    <row r="19" spans="1:22" ht="15.75" customHeight="1">
      <c r="A19" s="89"/>
      <c r="B19" s="850"/>
      <c r="C19" s="1971" t="str">
        <f>C2</f>
        <v>New York Style pizza</v>
      </c>
      <c r="D19" s="1971"/>
      <c r="E19" s="1971"/>
      <c r="F19" s="1971"/>
      <c r="G19" s="1971"/>
      <c r="H19" s="1971"/>
      <c r="I19" s="1971"/>
      <c r="J19" s="923"/>
      <c r="O19" s="758"/>
      <c r="P19" s="178"/>
      <c r="Q19" s="89"/>
      <c r="R19" s="89"/>
      <c r="S19" s="89"/>
      <c r="T19" s="89"/>
      <c r="U19" s="89"/>
      <c r="V19" s="89"/>
    </row>
    <row r="20" spans="1:22" thickBot="1">
      <c r="A20" s="89"/>
      <c r="B20" s="44"/>
      <c r="C20" s="1971"/>
      <c r="D20" s="1971"/>
      <c r="E20" s="1971"/>
      <c r="F20" s="1971"/>
      <c r="G20" s="1971"/>
      <c r="H20" s="1971"/>
      <c r="I20" s="1971"/>
      <c r="O20" s="758"/>
      <c r="P20" s="178"/>
      <c r="Q20" s="89"/>
      <c r="R20" s="1601" t="str">
        <f ca="1">"Samlet tid  ("&amp;_xlfn.DAYS(S23,S22)&amp;" dag)"</f>
        <v>Samlet tid  (1 dag)</v>
      </c>
      <c r="S20" s="1602"/>
      <c r="T20" s="1603">
        <f>SUM(T11:T18)</f>
        <v>0.93749999999999989</v>
      </c>
      <c r="U20" s="1604" t="s">
        <v>644</v>
      </c>
      <c r="V20" s="89"/>
    </row>
    <row r="21" spans="1:22" ht="15.75">
      <c r="A21" s="89"/>
      <c r="B21" s="1446" t="s">
        <v>746</v>
      </c>
      <c r="C21" s="5" t="s">
        <v>944</v>
      </c>
      <c r="K21" s="1901" t="s">
        <v>1054</v>
      </c>
      <c r="L21" s="1902"/>
      <c r="M21" s="1902"/>
      <c r="N21" s="1903"/>
      <c r="O21" s="758"/>
      <c r="P21" s="178"/>
      <c r="Q21" s="185"/>
      <c r="R21" s="103"/>
      <c r="S21" s="1605"/>
      <c r="T21" s="1605"/>
      <c r="U21" s="1606"/>
      <c r="V21" s="89"/>
    </row>
    <row r="22" spans="1:22" ht="15.75">
      <c r="A22" s="89"/>
      <c r="B22" s="1446"/>
      <c r="C22" t="s">
        <v>945</v>
      </c>
      <c r="E22" s="5"/>
      <c r="K22" s="1898" t="str">
        <f>I8&amp;" pizzaer a "&amp;ROUND(I9,0)&amp;" g.  -   "&amp;ROUND(X10*100,0)&amp;"% hydrering"</f>
        <v>4 pizzaer a 270 g.  -   66% hydrering</v>
      </c>
      <c r="L22" s="1899"/>
      <c r="M22" s="1899"/>
      <c r="N22" s="1900"/>
      <c r="O22" s="758"/>
      <c r="P22" s="178"/>
      <c r="Q22" s="185"/>
      <c r="R22" s="1551" t="s">
        <v>0</v>
      </c>
      <c r="S22" s="1922">
        <f ca="1">IF(S9="","?",S9-T20+S8)</f>
        <v>45920.8125</v>
      </c>
      <c r="T22" s="1922"/>
      <c r="U22" s="1922"/>
      <c r="V22" s="89"/>
    </row>
    <row r="23" spans="1:22" ht="15.75">
      <c r="A23" s="89"/>
      <c r="B23" s="1446" t="s">
        <v>746</v>
      </c>
      <c r="C23" t="s">
        <v>823</v>
      </c>
      <c r="K23" s="876">
        <f t="shared" ref="K23:K29" si="0">$I$11*(X8/SUM($X$8:$X$14))</f>
        <v>559.43810359964903</v>
      </c>
      <c r="L23" s="852" t="str">
        <f>"g "&amp;C8</f>
        <v>g hvedemel tipo 00</v>
      </c>
      <c r="M23" s="5"/>
      <c r="N23" s="1972">
        <v>1</v>
      </c>
      <c r="O23" s="758"/>
      <c r="P23" s="178"/>
      <c r="Q23" s="185"/>
      <c r="R23" s="1614" t="str">
        <f ca="1">"Dag "&amp;IF(S9="","?",_xlfn.DAYS(S23,S22)+1)</f>
        <v>Dag 2</v>
      </c>
      <c r="S23" s="1950">
        <f ca="1">IF(S9="","?",S22+SUM(T11:T14))</f>
        <v>45921.607638888891</v>
      </c>
      <c r="T23" s="1950"/>
      <c r="U23" s="1950"/>
      <c r="V23" s="89"/>
    </row>
    <row r="24" spans="1:22" ht="15.75">
      <c r="A24" s="89"/>
      <c r="B24" s="1446"/>
      <c r="C24" t="s">
        <v>1028</v>
      </c>
      <c r="K24" s="876">
        <f t="shared" si="0"/>
        <v>56.892010535557525</v>
      </c>
      <c r="L24" s="852" t="str">
        <f>"g "&amp;C9</f>
        <v>g fintmalet fuldkornsmel</v>
      </c>
      <c r="M24" s="5"/>
      <c r="N24" s="1972"/>
      <c r="O24" s="758"/>
      <c r="P24" s="178"/>
      <c r="Q24" s="185"/>
      <c r="R24" s="787"/>
      <c r="S24" s="89"/>
      <c r="T24" s="89"/>
      <c r="U24" s="89"/>
      <c r="V24" s="89"/>
    </row>
    <row r="25" spans="1:22" ht="15.75">
      <c r="A25" s="89"/>
      <c r="B25" s="1386"/>
      <c r="C25" t="s">
        <v>1029</v>
      </c>
      <c r="K25" s="876">
        <f t="shared" si="0"/>
        <v>407.7260755048286</v>
      </c>
      <c r="L25" s="852" t="s">
        <v>444</v>
      </c>
      <c r="M25" s="5"/>
      <c r="N25" s="1748">
        <f>X10</f>
        <v>0.66153846153846096</v>
      </c>
      <c r="O25" s="758"/>
      <c r="P25" s="178"/>
      <c r="Q25" s="1616"/>
      <c r="R25" s="1617"/>
      <c r="S25" s="1618"/>
      <c r="T25" s="1618"/>
      <c r="U25" s="1618"/>
      <c r="V25" s="1618"/>
    </row>
    <row r="26" spans="1:22" ht="15.75">
      <c r="A26" s="89"/>
      <c r="B26" s="1446"/>
      <c r="C26" t="s">
        <v>1030</v>
      </c>
      <c r="K26" s="876">
        <f t="shared" si="0"/>
        <v>18.964003511852468</v>
      </c>
      <c r="L26" s="852" t="str">
        <f>"g "&amp;C11</f>
        <v>g olivenolie</v>
      </c>
      <c r="M26" s="5"/>
      <c r="N26" s="1750">
        <f>X11</f>
        <v>3.0769230769230702E-2</v>
      </c>
      <c r="O26" s="758"/>
      <c r="P26" s="178"/>
      <c r="Q26" s="185"/>
      <c r="R26" s="787"/>
      <c r="S26" s="89"/>
      <c r="T26" s="89"/>
      <c r="U26" s="89"/>
      <c r="V26" s="89"/>
    </row>
    <row r="27" spans="1:22" ht="15.75">
      <c r="A27" s="89"/>
      <c r="B27" s="1446" t="s">
        <v>746</v>
      </c>
      <c r="C27" t="s">
        <v>715</v>
      </c>
      <c r="K27" s="876">
        <f t="shared" si="0"/>
        <v>16.119402985074661</v>
      </c>
      <c r="L27" s="852" t="s">
        <v>29</v>
      </c>
      <c r="M27" s="5"/>
      <c r="N27" s="1750">
        <f>X12</f>
        <v>2.6153846153846201E-2</v>
      </c>
      <c r="O27" s="758"/>
      <c r="P27" s="178"/>
      <c r="Q27" s="185"/>
      <c r="R27" s="184" t="s">
        <v>358</v>
      </c>
      <c r="S27" s="183"/>
      <c r="T27" s="183"/>
      <c r="U27" s="89"/>
      <c r="V27" s="89"/>
    </row>
    <row r="28" spans="1:22" ht="15.75">
      <c r="A28" s="89"/>
      <c r="B28" s="1447"/>
      <c r="K28" s="877">
        <f>$I$11*(X13/SUM($X$8:$X$14))</f>
        <v>2.8446005267778669</v>
      </c>
      <c r="L28" s="852" t="str">
        <f>"g "&amp;AB12</f>
        <v>g frisk gær</v>
      </c>
      <c r="M28" s="5"/>
      <c r="N28" s="1751">
        <f>X13</f>
        <v>4.6153846153846002E-3</v>
      </c>
      <c r="O28" s="758"/>
      <c r="P28" s="178"/>
      <c r="Q28" s="185"/>
      <c r="R28" s="134" t="s">
        <v>353</v>
      </c>
      <c r="S28" s="97"/>
      <c r="T28" s="89"/>
      <c r="U28" s="89"/>
      <c r="V28" s="89"/>
    </row>
    <row r="29" spans="1:22" ht="15.75">
      <c r="A29" s="89"/>
      <c r="B29" s="1447"/>
      <c r="K29" s="1454">
        <f t="shared" si="0"/>
        <v>18.015803336259864</v>
      </c>
      <c r="L29" s="1040" t="str">
        <f>"g "&amp;C14</f>
        <v>g rørsukker</v>
      </c>
      <c r="M29" s="3"/>
      <c r="N29" s="1749">
        <f>X14</f>
        <v>2.9230769230769199E-2</v>
      </c>
      <c r="O29" s="758"/>
      <c r="P29" s="178"/>
      <c r="Q29" s="185"/>
      <c r="R29" s="134" t="s">
        <v>367</v>
      </c>
      <c r="S29" s="97"/>
      <c r="T29" s="89"/>
      <c r="U29" s="89"/>
      <c r="V29" s="89"/>
    </row>
    <row r="30" spans="1:22" ht="15">
      <c r="A30" s="89"/>
      <c r="B30" s="1447"/>
      <c r="O30" s="758"/>
      <c r="P30" s="178"/>
      <c r="Q30" s="185"/>
      <c r="R30" s="134" t="s">
        <v>359</v>
      </c>
      <c r="S30" s="89"/>
      <c r="T30" s="89"/>
      <c r="U30" s="89"/>
      <c r="V30" s="89"/>
    </row>
    <row r="31" spans="1:22" ht="15">
      <c r="A31" s="89"/>
      <c r="B31" s="1447"/>
      <c r="O31" s="758"/>
      <c r="P31" s="178"/>
      <c r="Q31" s="185"/>
      <c r="R31" s="98" t="s">
        <v>360</v>
      </c>
      <c r="S31" s="89"/>
      <c r="T31" s="89"/>
      <c r="U31" s="89"/>
      <c r="V31" s="89"/>
    </row>
    <row r="32" spans="1:22" ht="15.75" customHeight="1">
      <c r="A32" s="89"/>
      <c r="B32" s="1379" t="s">
        <v>1035</v>
      </c>
      <c r="C32" s="898" t="s">
        <v>0</v>
      </c>
      <c r="D32" s="1032" t="s">
        <v>724</v>
      </c>
      <c r="E32" s="536"/>
      <c r="F32" s="536"/>
      <c r="G32" s="536"/>
      <c r="H32" s="536"/>
      <c r="I32" s="536"/>
      <c r="J32" s="536"/>
      <c r="K32" s="1041"/>
      <c r="L32" s="1805" t="str">
        <f ca="1">TEXT(S22,"dddd")</f>
        <v>lørdag</v>
      </c>
      <c r="M32" s="1951">
        <f ca="1">IF($S$8="","",S22)</f>
        <v>45920.8125</v>
      </c>
      <c r="N32" s="1951"/>
      <c r="O32" s="45"/>
      <c r="P32" s="178"/>
      <c r="Q32" s="185"/>
      <c r="R32" s="134" t="s">
        <v>354</v>
      </c>
      <c r="S32" s="97"/>
      <c r="T32" s="89"/>
      <c r="U32" s="89"/>
      <c r="V32" s="89"/>
    </row>
    <row r="33" spans="1:22" ht="15.75">
      <c r="A33" s="89"/>
      <c r="B33" s="1057"/>
      <c r="C33" s="105"/>
      <c r="D33" s="105"/>
      <c r="E33" s="105"/>
      <c r="F33" s="105"/>
      <c r="G33" s="105"/>
      <c r="H33" s="105"/>
      <c r="I33" s="105"/>
      <c r="J33" s="105"/>
      <c r="K33" s="105"/>
      <c r="L33" s="105"/>
      <c r="M33" s="105"/>
      <c r="N33" s="105"/>
      <c r="O33" s="45"/>
      <c r="P33" s="178"/>
      <c r="Q33" s="89"/>
      <c r="R33" s="134" t="s">
        <v>356</v>
      </c>
      <c r="S33" s="97"/>
      <c r="T33" s="89"/>
      <c r="U33" s="89"/>
      <c r="V33" s="89"/>
    </row>
    <row r="34" spans="1:22" ht="18">
      <c r="A34" s="89"/>
      <c r="B34" s="1398" t="s">
        <v>1034</v>
      </c>
      <c r="C34" s="708">
        <v>1</v>
      </c>
      <c r="D34" s="425" t="str">
        <f>"Bland mel, vand"&amp;IF(I14="Ja",", olie og sukker."," og olie.")</f>
        <v>Bland mel, vand, olie og sukker.</v>
      </c>
      <c r="E34" s="425"/>
      <c r="F34" s="425"/>
      <c r="G34" s="425"/>
      <c r="H34" s="425"/>
      <c r="I34" s="425"/>
      <c r="J34" s="105"/>
      <c r="K34" s="1033" t="str">
        <f>ROUND(K23,0)&amp;" g hvedemel"&amp;IF(I13="Nej","",", "&amp;ROUND(K24,0)&amp;" g. fuldkornsmel,")</f>
        <v>559 g hvedemel, 57 g. fuldkornsmel,</v>
      </c>
      <c r="L34" s="1034"/>
      <c r="M34" s="1034"/>
      <c r="N34" s="1035"/>
      <c r="O34" s="45"/>
      <c r="P34" s="178"/>
      <c r="Q34" s="89"/>
      <c r="R34" s="134"/>
      <c r="S34" s="97"/>
      <c r="T34" s="89"/>
      <c r="U34" s="89"/>
      <c r="V34" s="89"/>
    </row>
    <row r="35" spans="1:22" ht="15.75">
      <c r="A35" s="89"/>
      <c r="B35" s="44"/>
      <c r="C35" s="105"/>
      <c r="D35" s="105"/>
      <c r="E35" s="105"/>
      <c r="F35" s="105"/>
      <c r="G35" s="105"/>
      <c r="H35" s="105"/>
      <c r="I35" s="105"/>
      <c r="J35" s="105"/>
      <c r="K35" s="1036" t="str">
        <f>ROUND(K25,0)&amp;" g vand, "&amp;ROUND(K26,0)&amp;" g olie"&amp;IF(I14="Ja",", "&amp;ROUND(K29,0)&amp;" g sukker",".")</f>
        <v>408 g vand, 19 g olie, 18 g sukker</v>
      </c>
      <c r="L35" s="1037"/>
      <c r="M35" s="1037"/>
      <c r="N35" s="1038"/>
      <c r="O35" s="45"/>
      <c r="P35" s="178"/>
      <c r="Q35" s="89"/>
      <c r="R35" s="180" t="s">
        <v>361</v>
      </c>
      <c r="S35" s="175"/>
      <c r="T35" s="89"/>
      <c r="U35" s="89"/>
      <c r="V35" s="89"/>
    </row>
    <row r="36" spans="1:22" ht="18">
      <c r="A36" s="89"/>
      <c r="B36" s="1398" t="s">
        <v>1034</v>
      </c>
      <c r="C36" s="708">
        <v>2</v>
      </c>
      <c r="D36" s="425" t="s">
        <v>723</v>
      </c>
      <c r="E36" s="425"/>
      <c r="F36" s="425"/>
      <c r="G36" s="425"/>
      <c r="H36" s="425"/>
      <c r="I36" s="425"/>
      <c r="J36" s="425"/>
      <c r="O36" s="45"/>
      <c r="P36" s="178"/>
      <c r="Q36" s="89"/>
      <c r="R36" s="134" t="s">
        <v>338</v>
      </c>
      <c r="S36" s="89"/>
      <c r="T36" s="341">
        <v>25</v>
      </c>
      <c r="U36" s="89"/>
      <c r="V36" s="89"/>
    </row>
    <row r="37" spans="1:22" ht="15.75">
      <c r="A37" s="89"/>
      <c r="B37" s="44"/>
      <c r="C37" s="105"/>
      <c r="D37" s="105"/>
      <c r="E37" s="105"/>
      <c r="F37" s="105"/>
      <c r="G37" s="105"/>
      <c r="H37" s="105"/>
      <c r="I37" s="105"/>
      <c r="J37" s="105"/>
      <c r="K37" s="105"/>
      <c r="L37" s="105"/>
      <c r="M37" s="105"/>
      <c r="N37" s="105"/>
      <c r="O37" s="45"/>
      <c r="P37" s="178"/>
      <c r="Q37" s="89"/>
      <c r="R37" s="152" t="s">
        <v>339</v>
      </c>
      <c r="S37" s="89"/>
      <c r="T37" s="342"/>
      <c r="U37" s="89"/>
      <c r="V37" s="89"/>
    </row>
    <row r="38" spans="1:22" ht="18">
      <c r="A38" s="89"/>
      <c r="B38" s="1398" t="s">
        <v>1034</v>
      </c>
      <c r="C38" s="708">
        <v>3</v>
      </c>
      <c r="D38" s="425" t="s">
        <v>722</v>
      </c>
      <c r="E38" s="425"/>
      <c r="F38" s="425"/>
      <c r="G38" s="425"/>
      <c r="H38" s="425"/>
      <c r="I38" s="425"/>
      <c r="J38" s="425"/>
      <c r="K38" s="105"/>
      <c r="L38" s="105"/>
      <c r="M38" s="105"/>
      <c r="N38" s="105"/>
      <c r="O38" s="45"/>
      <c r="P38" s="178"/>
      <c r="Q38" s="89"/>
      <c r="R38" s="152" t="s">
        <v>340</v>
      </c>
      <c r="S38" s="89"/>
      <c r="T38" s="342">
        <v>15</v>
      </c>
      <c r="U38" s="89"/>
      <c r="V38" s="89"/>
    </row>
    <row r="39" spans="1:22" ht="15.75">
      <c r="A39" s="89"/>
      <c r="B39" s="44"/>
      <c r="C39" s="105"/>
      <c r="D39" s="105"/>
      <c r="E39" s="105"/>
      <c r="F39" s="105"/>
      <c r="G39" s="105"/>
      <c r="H39" s="105"/>
      <c r="I39" s="105"/>
      <c r="J39" s="105"/>
      <c r="K39" s="105"/>
      <c r="L39" s="105"/>
      <c r="M39" s="105"/>
      <c r="N39" s="105"/>
      <c r="O39" s="45"/>
      <c r="P39" s="178"/>
      <c r="Q39" s="89"/>
      <c r="R39" s="148" t="s">
        <v>341</v>
      </c>
      <c r="S39" s="186"/>
      <c r="T39" s="343"/>
      <c r="U39" s="89"/>
      <c r="V39" s="89"/>
    </row>
    <row r="40" spans="1:22" ht="18">
      <c r="A40" s="89"/>
      <c r="B40" s="1398" t="s">
        <v>1034</v>
      </c>
      <c r="C40" s="708">
        <v>4</v>
      </c>
      <c r="D40" s="425" t="str">
        <f>IF(M13="frisk gær","Smuldr gæren i dejen og ælt i cirka 1 min.","Tilsæt gær i dejen og ælt i cirka 1 min.")</f>
        <v>Smuldr gæren i dejen og ælt i cirka 1 min.</v>
      </c>
      <c r="E40" s="425"/>
      <c r="F40" s="425"/>
      <c r="G40" s="425"/>
      <c r="H40" s="425"/>
      <c r="I40" s="425"/>
      <c r="J40" s="425"/>
      <c r="K40" s="1042" t="str">
        <f>ROUND(K28,2)&amp;" g. "&amp;AB12</f>
        <v>2,84 g. frisk gær</v>
      </c>
      <c r="L40" s="1043"/>
      <c r="M40" s="1043"/>
      <c r="N40" s="1044"/>
      <c r="O40" s="45"/>
      <c r="P40" s="178"/>
      <c r="Q40" s="89"/>
      <c r="R40" s="152" t="s">
        <v>342</v>
      </c>
      <c r="S40" s="89"/>
      <c r="T40" s="1881" t="str">
        <f>IF(OR(T36="",T37=""),"",(T36*2)-T37-T38-(T39*2)&amp;"°")</f>
        <v/>
      </c>
      <c r="U40" s="89"/>
      <c r="V40" s="89"/>
    </row>
    <row r="41" spans="1:22" ht="15.75" customHeight="1">
      <c r="A41" s="89"/>
      <c r="B41" s="44"/>
      <c r="C41" s="105"/>
      <c r="D41" s="105"/>
      <c r="E41" s="105"/>
      <c r="F41" s="105"/>
      <c r="G41" s="105"/>
      <c r="H41" s="105"/>
      <c r="I41" s="105"/>
      <c r="J41" s="105"/>
      <c r="K41" s="105"/>
      <c r="L41" s="105"/>
      <c r="M41" s="105"/>
      <c r="N41" s="105"/>
      <c r="O41" s="45"/>
      <c r="P41" s="178"/>
      <c r="Q41" s="89"/>
      <c r="R41" s="159" t="s">
        <v>343</v>
      </c>
      <c r="S41" s="323"/>
      <c r="T41" s="1882"/>
      <c r="U41" s="89"/>
      <c r="V41" s="89"/>
    </row>
    <row r="42" spans="1:22" ht="15.75" customHeight="1">
      <c r="A42" s="89"/>
      <c r="B42" s="1398" t="s">
        <v>1034</v>
      </c>
      <c r="C42" s="708">
        <v>5</v>
      </c>
      <c r="D42" s="425" t="s">
        <v>721</v>
      </c>
      <c r="E42" s="425"/>
      <c r="F42" s="425"/>
      <c r="G42" s="425"/>
      <c r="H42" s="425"/>
      <c r="I42" s="425"/>
      <c r="J42" s="425"/>
      <c r="K42" s="1039" t="str">
        <f>ROUND(K27,0)&amp;" g salt"</f>
        <v>16 g salt</v>
      </c>
      <c r="L42" s="864"/>
      <c r="M42" s="864"/>
      <c r="N42" s="865"/>
      <c r="O42" s="45"/>
      <c r="P42" s="178"/>
      <c r="Q42" s="89"/>
      <c r="R42" s="98"/>
      <c r="S42" s="98"/>
      <c r="T42" s="98"/>
      <c r="U42" s="89"/>
      <c r="V42" s="89"/>
    </row>
    <row r="43" spans="1:22" ht="15.75" customHeight="1">
      <c r="A43" s="89"/>
      <c r="B43" s="44"/>
      <c r="C43" s="105"/>
      <c r="D43" s="105"/>
      <c r="E43" s="105"/>
      <c r="F43" s="105"/>
      <c r="G43" s="105"/>
      <c r="H43" s="105"/>
      <c r="I43" s="105"/>
      <c r="J43" s="105"/>
      <c r="K43" s="105"/>
      <c r="L43" s="105"/>
      <c r="M43" s="105"/>
      <c r="N43" s="105"/>
      <c r="O43" s="45"/>
      <c r="P43" s="178"/>
      <c r="Q43" s="89"/>
      <c r="R43" s="181" t="s">
        <v>362</v>
      </c>
      <c r="S43" s="181"/>
      <c r="T43" s="183"/>
      <c r="U43" s="89"/>
      <c r="V43" s="89"/>
    </row>
    <row r="44" spans="1:22" ht="15.75" customHeight="1">
      <c r="A44" s="89"/>
      <c r="B44" s="1398" t="s">
        <v>1034</v>
      </c>
      <c r="C44" s="708">
        <v>6</v>
      </c>
      <c r="D44" s="425" t="s">
        <v>720</v>
      </c>
      <c r="E44" s="425"/>
      <c r="F44" s="425"/>
      <c r="G44" s="425"/>
      <c r="H44" s="425"/>
      <c r="I44" s="425"/>
      <c r="J44" s="425"/>
      <c r="K44" s="425"/>
      <c r="L44" s="425"/>
      <c r="M44" s="425"/>
      <c r="N44" s="425"/>
      <c r="O44" s="45"/>
      <c r="P44" s="178"/>
      <c r="Q44" s="89"/>
      <c r="R44" s="134" t="s">
        <v>364</v>
      </c>
      <c r="S44" s="98"/>
      <c r="T44" s="98"/>
      <c r="U44" s="89"/>
      <c r="V44" s="89"/>
    </row>
    <row r="45" spans="1:22" ht="15.75" customHeight="1">
      <c r="A45" s="89"/>
      <c r="B45" s="44"/>
      <c r="C45" s="105"/>
      <c r="D45" s="105"/>
      <c r="E45" s="105"/>
      <c r="F45" s="105"/>
      <c r="G45" s="105"/>
      <c r="H45" s="105"/>
      <c r="I45" s="105"/>
      <c r="J45" s="105"/>
      <c r="K45" s="105"/>
      <c r="L45" s="105"/>
      <c r="M45" s="105"/>
      <c r="N45" s="105"/>
      <c r="O45" s="45"/>
      <c r="P45" s="178"/>
      <c r="Q45" s="89"/>
      <c r="R45" s="134" t="s">
        <v>363</v>
      </c>
      <c r="S45" s="98"/>
      <c r="T45" s="98"/>
      <c r="U45" s="89"/>
      <c r="V45" s="89"/>
    </row>
    <row r="46" spans="1:22" ht="15.75" customHeight="1">
      <c r="A46" s="89"/>
      <c r="B46" s="1398" t="s">
        <v>1034</v>
      </c>
      <c r="C46" s="708">
        <v>7</v>
      </c>
      <c r="D46" s="425" t="s">
        <v>719</v>
      </c>
      <c r="E46" s="425"/>
      <c r="F46" s="425"/>
      <c r="G46" s="425"/>
      <c r="H46" s="425"/>
      <c r="I46" s="425"/>
      <c r="J46" s="425"/>
      <c r="K46" s="425"/>
      <c r="L46" s="425"/>
      <c r="M46" s="425"/>
      <c r="N46" s="425"/>
      <c r="O46" s="45"/>
      <c r="P46" s="178"/>
      <c r="Q46" s="89"/>
      <c r="R46" s="160" t="s">
        <v>365</v>
      </c>
      <c r="S46" s="98"/>
      <c r="T46" s="89"/>
      <c r="U46" s="89"/>
      <c r="V46" s="89"/>
    </row>
    <row r="47" spans="1:22" ht="15.75" customHeight="1">
      <c r="A47" s="89"/>
      <c r="B47" s="44"/>
      <c r="C47" s="105"/>
      <c r="D47" s="105"/>
      <c r="E47" s="105"/>
      <c r="F47" s="105"/>
      <c r="G47" s="105"/>
      <c r="H47" s="105"/>
      <c r="I47" s="105"/>
      <c r="J47" s="105"/>
      <c r="K47" s="105"/>
      <c r="L47" s="105"/>
      <c r="M47" s="105"/>
      <c r="N47" s="105"/>
      <c r="O47" s="45"/>
      <c r="P47" s="178"/>
      <c r="Q47" s="89"/>
      <c r="R47" s="98" t="s">
        <v>368</v>
      </c>
      <c r="S47" s="93"/>
      <c r="T47" s="89"/>
      <c r="U47" s="89"/>
      <c r="V47" s="89"/>
    </row>
    <row r="48" spans="1:22" ht="15.75" customHeight="1">
      <c r="A48" s="89"/>
      <c r="B48" s="1398" t="s">
        <v>1034</v>
      </c>
      <c r="C48" s="708">
        <v>8</v>
      </c>
      <c r="D48" s="425" t="s">
        <v>718</v>
      </c>
      <c r="E48" s="425"/>
      <c r="F48" s="425"/>
      <c r="G48" s="425"/>
      <c r="H48" s="425"/>
      <c r="I48" s="425"/>
      <c r="J48" s="425"/>
      <c r="K48" s="425"/>
      <c r="L48" s="425"/>
      <c r="M48" s="425"/>
      <c r="N48" s="425"/>
      <c r="O48" s="45"/>
      <c r="P48" s="178"/>
      <c r="Q48" s="89"/>
      <c r="R48" s="98" t="s">
        <v>366</v>
      </c>
      <c r="S48" s="93"/>
      <c r="T48" s="89"/>
      <c r="U48" s="89"/>
      <c r="V48" s="89"/>
    </row>
    <row r="49" spans="1:22" ht="15.75" customHeight="1">
      <c r="A49" s="89"/>
      <c r="B49" s="44"/>
      <c r="C49" s="105"/>
      <c r="D49" s="105"/>
      <c r="E49" s="105"/>
      <c r="F49" s="105"/>
      <c r="G49" s="105"/>
      <c r="H49" s="105"/>
      <c r="I49" s="105"/>
      <c r="J49" s="105"/>
      <c r="K49" s="105"/>
      <c r="L49" s="105"/>
      <c r="M49" s="105"/>
      <c r="N49" s="105"/>
      <c r="O49" s="45"/>
      <c r="P49" s="178"/>
      <c r="Q49" s="89"/>
      <c r="R49" s="89"/>
      <c r="S49" s="89"/>
      <c r="T49" s="89"/>
      <c r="U49" s="89"/>
      <c r="V49" s="89"/>
    </row>
    <row r="50" spans="1:22" ht="15.75" customHeight="1">
      <c r="A50" s="89"/>
      <c r="B50" s="1398" t="s">
        <v>1034</v>
      </c>
      <c r="C50" s="708">
        <v>9</v>
      </c>
      <c r="D50" s="425" t="s">
        <v>717</v>
      </c>
      <c r="E50" s="425"/>
      <c r="F50" s="425"/>
      <c r="G50" s="425"/>
      <c r="H50" s="425"/>
      <c r="I50" s="425"/>
      <c r="J50" s="425"/>
      <c r="K50" s="425"/>
      <c r="L50" s="425"/>
      <c r="M50" s="425"/>
      <c r="N50" s="425"/>
      <c r="O50" s="45"/>
      <c r="P50" s="178"/>
      <c r="Q50" s="89"/>
      <c r="R50" s="89"/>
      <c r="S50" s="89"/>
      <c r="T50" s="89"/>
      <c r="U50" s="89"/>
      <c r="V50" s="89"/>
    </row>
    <row r="51" spans="1:22" ht="15.75" customHeight="1">
      <c r="A51" s="89"/>
      <c r="B51" s="44"/>
      <c r="C51" s="708"/>
      <c r="D51" s="425" t="s">
        <v>716</v>
      </c>
      <c r="E51" s="425"/>
      <c r="F51" s="425"/>
      <c r="G51" s="425"/>
      <c r="H51" s="425"/>
      <c r="I51" s="425"/>
      <c r="J51" s="425"/>
      <c r="K51" s="425"/>
      <c r="L51" s="425"/>
      <c r="M51" s="425"/>
      <c r="N51" s="425"/>
      <c r="O51" s="45"/>
      <c r="P51" s="178"/>
      <c r="Q51" s="89"/>
      <c r="R51" s="89"/>
      <c r="S51" s="89"/>
      <c r="T51" s="89"/>
      <c r="U51" s="89"/>
      <c r="V51" s="89"/>
    </row>
    <row r="52" spans="1:22" ht="15.75">
      <c r="A52" s="89"/>
      <c r="B52" s="44"/>
      <c r="C52" s="105"/>
      <c r="D52" s="105"/>
      <c r="E52" s="105"/>
      <c r="F52" s="105"/>
      <c r="G52" s="105"/>
      <c r="H52" s="105"/>
      <c r="I52" s="105"/>
      <c r="J52" s="105"/>
      <c r="K52" s="105"/>
      <c r="L52" s="105"/>
      <c r="M52" s="105"/>
      <c r="N52" s="105"/>
      <c r="O52" s="45"/>
      <c r="P52" s="178"/>
      <c r="Q52" s="89"/>
      <c r="R52" s="89"/>
      <c r="S52" s="89"/>
      <c r="T52" s="89"/>
      <c r="U52" s="89"/>
      <c r="V52" s="89"/>
    </row>
    <row r="53" spans="1:22" ht="15.75" customHeight="1">
      <c r="A53" s="89"/>
      <c r="B53" s="1398" t="s">
        <v>1034</v>
      </c>
      <c r="C53" s="708">
        <v>10</v>
      </c>
      <c r="D53" s="425" t="s">
        <v>1135</v>
      </c>
      <c r="E53" s="105"/>
      <c r="F53" s="105"/>
      <c r="G53" s="105"/>
      <c r="H53" s="105"/>
      <c r="I53" s="105"/>
      <c r="J53" s="105"/>
      <c r="K53" s="105"/>
      <c r="L53" s="105"/>
      <c r="M53" s="105"/>
      <c r="N53" s="105"/>
      <c r="O53" s="45"/>
      <c r="P53" s="178"/>
      <c r="Q53" s="89"/>
      <c r="R53" s="89"/>
      <c r="S53" s="89"/>
      <c r="T53" s="89"/>
      <c r="U53" s="89"/>
      <c r="V53" s="89"/>
    </row>
    <row r="54" spans="1:22" ht="15.75" customHeight="1">
      <c r="A54" s="89"/>
      <c r="B54" s="44"/>
      <c r="C54" s="105"/>
      <c r="D54" s="105"/>
      <c r="E54" s="105"/>
      <c r="F54" s="105"/>
      <c r="G54" s="105"/>
      <c r="H54" s="105"/>
      <c r="I54" s="105"/>
      <c r="J54" s="105"/>
      <c r="K54" s="105"/>
      <c r="L54" s="105"/>
      <c r="M54" s="105"/>
      <c r="N54" s="105"/>
      <c r="O54" s="45"/>
      <c r="P54" s="178"/>
      <c r="Q54" s="89"/>
      <c r="R54" s="89"/>
      <c r="S54" s="89"/>
      <c r="T54" s="89"/>
      <c r="U54" s="89"/>
      <c r="V54" s="89"/>
    </row>
    <row r="55" spans="1:22" ht="0" hidden="1" customHeight="1"/>
    <row r="56" spans="1:22" ht="15.75" customHeight="1">
      <c r="A56" s="89"/>
      <c r="B56" s="1398" t="s">
        <v>1034</v>
      </c>
      <c r="C56" s="708">
        <v>11</v>
      </c>
      <c r="D56" s="425" t="s">
        <v>1136</v>
      </c>
      <c r="E56" s="105"/>
      <c r="F56" s="105"/>
      <c r="G56" s="105"/>
      <c r="H56" s="105"/>
      <c r="I56" s="105"/>
      <c r="J56" s="105"/>
      <c r="K56" s="105"/>
      <c r="L56" s="105"/>
      <c r="M56" s="105"/>
      <c r="N56" s="105"/>
      <c r="O56" s="45"/>
      <c r="P56" s="178"/>
      <c r="Q56" s="89"/>
      <c r="R56" s="89"/>
      <c r="S56" s="89"/>
      <c r="T56" s="89"/>
      <c r="U56" s="89"/>
      <c r="V56" s="89"/>
    </row>
    <row r="57" spans="1:22" ht="15.75">
      <c r="A57" s="89"/>
      <c r="B57" s="44"/>
      <c r="C57" s="105"/>
      <c r="D57" s="105"/>
      <c r="E57" s="105"/>
      <c r="F57" s="105"/>
      <c r="G57" s="105"/>
      <c r="H57" s="105"/>
      <c r="I57" s="105"/>
      <c r="J57" s="105"/>
      <c r="K57" s="105"/>
      <c r="L57" s="105"/>
      <c r="M57" s="105"/>
      <c r="N57" s="105"/>
      <c r="O57" s="45"/>
      <c r="P57" s="178"/>
      <c r="Q57" s="89"/>
      <c r="R57" s="89"/>
      <c r="S57" s="89"/>
      <c r="T57" s="89"/>
      <c r="U57" s="89"/>
      <c r="V57" s="89"/>
    </row>
    <row r="58" spans="1:22" ht="16.5" customHeight="1">
      <c r="A58" s="89"/>
      <c r="B58" s="44"/>
      <c r="C58" s="105"/>
      <c r="D58" s="105"/>
      <c r="E58" s="105"/>
      <c r="F58" s="105"/>
      <c r="G58" s="105"/>
      <c r="H58" s="105"/>
      <c r="I58" s="105"/>
      <c r="J58" s="105"/>
      <c r="K58" s="105"/>
      <c r="L58" s="105"/>
      <c r="M58" s="105"/>
      <c r="N58" s="105"/>
      <c r="O58" s="45"/>
      <c r="P58" s="178"/>
      <c r="Q58" s="89"/>
      <c r="R58" s="89"/>
      <c r="S58" s="89"/>
      <c r="T58" s="89"/>
      <c r="U58" s="89"/>
      <c r="V58" s="89"/>
    </row>
    <row r="59" spans="1:22" ht="15.75" customHeight="1">
      <c r="A59" s="89"/>
      <c r="B59" s="47"/>
      <c r="C59" s="1478" t="s">
        <v>4</v>
      </c>
      <c r="D59" s="1040"/>
      <c r="E59" s="536"/>
      <c r="F59" s="536"/>
      <c r="G59" s="536"/>
      <c r="H59" s="536"/>
      <c r="I59" s="536"/>
      <c r="J59" s="536"/>
      <c r="K59" s="536"/>
      <c r="L59" s="1805" t="str">
        <f ca="1">TEXT(S23,"dddd")</f>
        <v>søndag</v>
      </c>
      <c r="M59" s="1951">
        <f ca="1">IF($S$8="","",S23)</f>
        <v>45921.607638888891</v>
      </c>
      <c r="N59" s="1951"/>
      <c r="O59" s="45"/>
      <c r="P59" s="178"/>
      <c r="Q59" s="89"/>
      <c r="R59" s="89"/>
      <c r="S59" s="89"/>
      <c r="T59" s="89"/>
      <c r="U59" s="89"/>
      <c r="V59" s="89"/>
    </row>
    <row r="60" spans="1:22" ht="15.75" customHeight="1">
      <c r="A60" s="89"/>
      <c r="B60" s="44"/>
      <c r="C60" s="105"/>
      <c r="D60" s="105"/>
      <c r="E60" s="105"/>
      <c r="F60" s="105"/>
      <c r="G60" s="105"/>
      <c r="H60" s="105"/>
      <c r="I60" s="105"/>
      <c r="J60" s="105"/>
      <c r="K60" s="105"/>
      <c r="L60" s="105"/>
      <c r="M60" s="105"/>
      <c r="N60" s="105"/>
      <c r="O60" s="45"/>
      <c r="P60" s="178"/>
      <c r="Q60" s="89"/>
      <c r="R60" s="89"/>
      <c r="S60" s="89"/>
      <c r="T60" s="89"/>
      <c r="U60" s="89"/>
      <c r="V60" s="89"/>
    </row>
    <row r="61" spans="1:22" ht="15.75" customHeight="1">
      <c r="A61" s="89"/>
      <c r="B61" s="1398" t="s">
        <v>1034</v>
      </c>
      <c r="C61" s="708">
        <v>12</v>
      </c>
      <c r="D61" s="105" t="str">
        <f>"Tag dejen ud af køleskabet og del den i "&amp;I8&amp;" klumper af ca. "&amp;ROUND(I9,0)&amp;" g. og stram op som kugler og lad dem"</f>
        <v>Tag dejen ud af køleskabet og del den i 4 klumper af ca. 270 g. og stram op som kugler og lad dem</v>
      </c>
      <c r="E61" s="105"/>
      <c r="F61" s="105"/>
      <c r="G61" s="105"/>
      <c r="H61" s="105"/>
      <c r="I61" s="105"/>
      <c r="J61" s="105"/>
      <c r="K61" s="105"/>
      <c r="L61" s="105"/>
      <c r="M61" s="105"/>
      <c r="N61" s="425"/>
      <c r="O61" s="45"/>
      <c r="P61" s="178"/>
      <c r="Q61" s="89"/>
      <c r="R61" s="89"/>
      <c r="S61" s="89"/>
      <c r="T61" s="89"/>
      <c r="U61" s="89"/>
      <c r="V61" s="89"/>
    </row>
    <row r="62" spans="1:22" ht="15.75" customHeight="1">
      <c r="A62" s="89"/>
      <c r="B62" s="44"/>
      <c r="C62" s="105"/>
      <c r="D62" s="105" t="s">
        <v>1137</v>
      </c>
      <c r="E62" s="105"/>
      <c r="F62" s="105"/>
      <c r="G62" s="105"/>
      <c r="H62" s="105"/>
      <c r="I62" s="105"/>
      <c r="J62" s="105"/>
      <c r="K62" s="105"/>
      <c r="L62" s="105"/>
      <c r="M62" s="105"/>
      <c r="N62" s="105"/>
      <c r="O62" s="45"/>
      <c r="P62" s="178"/>
      <c r="Q62" s="89"/>
      <c r="R62" s="89"/>
      <c r="S62" s="89"/>
      <c r="T62" s="89"/>
      <c r="U62" s="89"/>
      <c r="V62" s="89"/>
    </row>
    <row r="63" spans="1:22" ht="15.75" customHeight="1">
      <c r="A63" s="89"/>
      <c r="B63" s="44"/>
      <c r="C63" s="105"/>
      <c r="D63" s="105"/>
      <c r="E63" s="105"/>
      <c r="F63" s="105"/>
      <c r="G63" s="105"/>
      <c r="H63" s="105"/>
      <c r="I63" s="105"/>
      <c r="J63" s="105"/>
      <c r="K63" s="105"/>
      <c r="L63" s="105"/>
      <c r="M63" s="105"/>
      <c r="N63" s="105"/>
      <c r="O63" s="45"/>
      <c r="P63" s="178"/>
      <c r="Q63" s="89"/>
      <c r="R63" s="89"/>
      <c r="S63" s="89"/>
      <c r="T63" s="89"/>
      <c r="U63" s="89"/>
      <c r="V63" s="89"/>
    </row>
    <row r="64" spans="1:22" ht="15.75" customHeight="1">
      <c r="A64" s="89"/>
      <c r="B64" s="1398" t="s">
        <v>1034</v>
      </c>
      <c r="C64" s="1448">
        <v>13</v>
      </c>
      <c r="D64" s="105" t="s">
        <v>1138</v>
      </c>
      <c r="E64" s="105"/>
      <c r="F64" s="105"/>
      <c r="G64" s="105"/>
      <c r="H64" s="105"/>
      <c r="I64" s="105"/>
      <c r="J64" s="105"/>
      <c r="K64" s="105"/>
      <c r="L64" s="1449"/>
      <c r="M64" s="1450"/>
      <c r="N64" s="1450"/>
      <c r="O64" s="45"/>
      <c r="P64" s="178"/>
      <c r="Q64" s="89"/>
      <c r="R64" s="89"/>
      <c r="S64" s="89"/>
      <c r="T64" s="89"/>
      <c r="U64" s="89"/>
      <c r="V64" s="89"/>
    </row>
    <row r="65" spans="1:22" ht="16.5" customHeight="1">
      <c r="A65" s="89"/>
      <c r="B65" s="44"/>
      <c r="C65" s="105"/>
      <c r="D65" s="105" t="s">
        <v>1139</v>
      </c>
      <c r="E65" s="105"/>
      <c r="F65" s="105"/>
      <c r="G65" s="105"/>
      <c r="H65" s="105"/>
      <c r="I65" s="105"/>
      <c r="J65" s="105"/>
      <c r="K65" s="105"/>
      <c r="L65" s="105"/>
      <c r="M65" s="105"/>
      <c r="N65" s="105"/>
      <c r="O65" s="45"/>
      <c r="P65" s="178"/>
      <c r="Q65" s="89"/>
      <c r="R65" s="89"/>
      <c r="S65" s="89"/>
      <c r="T65" s="89"/>
      <c r="U65" s="89"/>
      <c r="V65" s="89"/>
    </row>
    <row r="66" spans="1:22" ht="13.5" customHeight="1">
      <c r="A66" s="89"/>
      <c r="B66" s="44"/>
      <c r="C66" s="105"/>
      <c r="E66" s="425"/>
      <c r="F66" s="425"/>
      <c r="G66" s="425"/>
      <c r="H66" s="425"/>
      <c r="I66" s="425"/>
      <c r="J66" s="425"/>
      <c r="K66" s="425"/>
      <c r="L66" s="425"/>
      <c r="M66" s="425"/>
      <c r="N66" s="425"/>
      <c r="O66" s="45"/>
      <c r="P66" s="178"/>
      <c r="Q66" s="89"/>
      <c r="R66" s="89"/>
      <c r="S66" s="89"/>
      <c r="T66" s="89"/>
      <c r="U66" s="89"/>
      <c r="V66" s="89"/>
    </row>
    <row r="67" spans="1:22" ht="16.5" customHeight="1">
      <c r="A67" s="89"/>
      <c r="B67" s="44"/>
      <c r="C67" s="1647" t="s">
        <v>1143</v>
      </c>
      <c r="D67" s="1649" t="s">
        <v>1144</v>
      </c>
      <c r="O67" s="45"/>
      <c r="P67" s="178"/>
      <c r="Q67" s="89"/>
      <c r="R67" s="89"/>
      <c r="S67" s="89"/>
      <c r="T67" s="89"/>
      <c r="U67" s="89"/>
      <c r="V67" s="89"/>
    </row>
    <row r="68" spans="1:22" ht="16.5" customHeight="1">
      <c r="A68" s="89"/>
      <c r="B68" s="44"/>
      <c r="D68" s="1648" t="s">
        <v>1141</v>
      </c>
      <c r="O68" s="45"/>
      <c r="P68" s="178"/>
      <c r="Q68" s="89"/>
      <c r="R68" s="89"/>
      <c r="S68" s="89"/>
      <c r="T68" s="89"/>
      <c r="U68" s="89"/>
      <c r="V68" s="89"/>
    </row>
    <row r="69" spans="1:22" ht="16.5" customHeight="1">
      <c r="A69" s="89"/>
      <c r="B69" s="44"/>
      <c r="D69" s="1488" t="s">
        <v>1145</v>
      </c>
      <c r="O69" s="45"/>
      <c r="P69" s="178"/>
      <c r="Q69" s="89"/>
      <c r="R69" s="89"/>
      <c r="S69" s="89"/>
      <c r="T69" s="89"/>
      <c r="U69" s="89"/>
      <c r="V69" s="89"/>
    </row>
    <row r="70" spans="1:22" ht="16.5" customHeight="1">
      <c r="A70" s="89"/>
      <c r="B70" s="44"/>
      <c r="D70" s="1488" t="s">
        <v>1142</v>
      </c>
      <c r="O70" s="45"/>
      <c r="P70" s="178"/>
      <c r="Q70" s="89"/>
      <c r="R70" s="89"/>
      <c r="S70" s="89"/>
      <c r="T70" s="89"/>
      <c r="U70" s="89"/>
      <c r="V70" s="89"/>
    </row>
    <row r="71" spans="1:22" ht="16.5" customHeight="1">
      <c r="A71" s="89"/>
      <c r="B71" s="2"/>
      <c r="C71" s="1451"/>
      <c r="D71" s="1452"/>
      <c r="E71" s="3"/>
      <c r="F71" s="3"/>
      <c r="G71" s="3"/>
      <c r="H71" s="3"/>
      <c r="I71" s="3"/>
      <c r="J71" s="3"/>
      <c r="K71" s="3"/>
      <c r="L71" s="82"/>
      <c r="M71" s="760"/>
      <c r="N71" s="1453" t="s">
        <v>523</v>
      </c>
      <c r="O71" s="761"/>
      <c r="P71" s="178"/>
      <c r="Q71" s="89"/>
      <c r="R71" s="89"/>
      <c r="S71" s="89"/>
      <c r="T71" s="89"/>
      <c r="U71" s="89"/>
      <c r="V71" s="89"/>
    </row>
    <row r="72" spans="1:22" ht="16.5" customHeight="1">
      <c r="A72" s="89"/>
      <c r="B72" s="89"/>
      <c r="C72" s="89"/>
      <c r="D72" s="89"/>
      <c r="E72" s="89"/>
      <c r="F72" s="89"/>
      <c r="G72" s="89"/>
      <c r="H72" s="89"/>
      <c r="I72" s="89"/>
      <c r="J72" s="89"/>
      <c r="K72" s="89"/>
      <c r="L72" s="89"/>
      <c r="M72" s="89"/>
      <c r="N72" s="89"/>
      <c r="O72" s="89"/>
      <c r="P72" s="178"/>
      <c r="Q72" s="89"/>
      <c r="R72" s="89"/>
      <c r="S72" s="89"/>
      <c r="T72" s="89"/>
      <c r="U72" s="89"/>
      <c r="V72" s="89"/>
    </row>
  </sheetData>
  <sheetProtection algorithmName="SHA-512" hashValue="ptmubScKNU0kkgUEXeaZArUd3tVGOCoGHOl4enIPLknY32CN3h503584T504MLi8liHT+EZuy8c6kZOjQ+sZGg==" saltValue="BXYmcKmBspFpWfHEl9XXSA==" spinCount="100000" sheet="1" objects="1" scenarios="1" selectLockedCells="1"/>
  <mergeCells count="16">
    <mergeCell ref="M32:N32"/>
    <mergeCell ref="M59:N59"/>
    <mergeCell ref="S23:U23"/>
    <mergeCell ref="T40:T41"/>
    <mergeCell ref="C2:M3"/>
    <mergeCell ref="K22:N22"/>
    <mergeCell ref="C19:I20"/>
    <mergeCell ref="K21:N21"/>
    <mergeCell ref="S22:U22"/>
    <mergeCell ref="Q5:V6"/>
    <mergeCell ref="T7:V7"/>
    <mergeCell ref="T8:V8"/>
    <mergeCell ref="U11:V11"/>
    <mergeCell ref="U16:V16"/>
    <mergeCell ref="N23:N24"/>
    <mergeCell ref="N13:O13"/>
  </mergeCells>
  <conditionalFormatting sqref="L9">
    <cfRule type="expression" dxfId="6" priority="1">
      <formula>$I$13="Nej"</formula>
    </cfRule>
  </conditionalFormatting>
  <dataValidations count="5">
    <dataValidation allowBlank="1" showInputMessage="1" showErrorMessage="1" promptTitle="Anbefaling" prompt="24-27°_x000a_Dejtemperaturen har meget stor betydning for det endelieg resultat." sqref="T36" xr:uid="{6013F288-11E2-4938-B7D0-AEB708CE35EB}"/>
    <dataValidation type="list" allowBlank="1" showInputMessage="1" showErrorMessage="1" sqref="I13:I14" xr:uid="{F8F0F05F-DA4A-4D5E-BC71-8C661D45D81A}">
      <formula1>"Ja,Nej"</formula1>
    </dataValidation>
    <dataValidation type="list" allowBlank="1" sqref="S8" xr:uid="{7E2C036A-49DD-497C-B61E-3536EB179D8A}">
      <formula1>"11:30,12:00,12:30,13:00,17:00,17:30,18:00,18:30,19:00,19:30"</formula1>
    </dataValidation>
    <dataValidation type="list" allowBlank="1" sqref="M13" xr:uid="{A0BD0695-3EB8-4C1B-86F8-1EE73D9AE718}">
      <formula1>$AA$8:$AA$10</formula1>
    </dataValidation>
    <dataValidation type="list" allowBlank="1" showErrorMessage="1" sqref="S7" xr:uid="{4E83CA4B-7997-48C7-81A4-E01CC87057CC}">
      <formula1>"Mandag,Tirsdag,Onsdag,Torsdag,Fredag,Lørdag,Søndag"</formula1>
    </dataValidation>
  </dataValidations>
  <pageMargins left="0.25" right="0.25" top="0.75" bottom="0.75" header="0.3" footer="0.3"/>
  <pageSetup paperSize="9" scale="8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4E9FC-6247-41EB-8CC5-D0D10B7E12F5}">
  <sheetPr codeName="Ark31">
    <tabColor rgb="FFFFFFCC"/>
    <pageSetUpPr fitToPage="1"/>
  </sheetPr>
  <dimension ref="A1:AD77"/>
  <sheetViews>
    <sheetView showGridLines="0" showRowColHeaders="0" zoomScaleNormal="100" workbookViewId="0">
      <pane ySplit="4" topLeftCell="A10" activePane="bottomLeft" state="frozen"/>
      <selection activeCell="C2" sqref="C2:I3"/>
      <selection pane="bottomLeft" activeCell="C62" sqref="C62"/>
    </sheetView>
  </sheetViews>
  <sheetFormatPr defaultColWidth="0" defaultRowHeight="14.45" customHeight="1" zeroHeight="1"/>
  <cols>
    <col min="1" max="1" width="3.5703125" customWidth="1"/>
    <col min="2" max="3" width="7.140625" customWidth="1"/>
    <col min="4" max="4" width="12" customWidth="1"/>
    <col min="5" max="5" width="9.5703125" customWidth="1"/>
    <col min="6" max="6" width="6.85546875" customWidth="1"/>
    <col min="7" max="7" width="3.140625" customWidth="1"/>
    <col min="8" max="8" width="7.140625" customWidth="1"/>
    <col min="9" max="9" width="8.28515625" customWidth="1"/>
    <col min="10" max="10" width="6" customWidth="1"/>
    <col min="11" max="11" width="11.7109375" customWidth="1"/>
    <col min="12" max="12" width="13.85546875" customWidth="1"/>
    <col min="13" max="13" width="15.5703125" customWidth="1"/>
    <col min="14" max="14" width="6.140625" customWidth="1"/>
    <col min="15" max="16" width="3.140625" customWidth="1"/>
    <col min="17" max="17" width="2.28515625" customWidth="1"/>
    <col min="18" max="18" width="2.140625" customWidth="1"/>
    <col min="19" max="19" width="8" customWidth="1"/>
    <col min="20" max="20" width="20.85546875" customWidth="1"/>
    <col min="21" max="21" width="8.140625" customWidth="1"/>
    <col min="22" max="22" width="3.5703125" customWidth="1"/>
    <col min="23" max="23" width="6.5703125" customWidth="1"/>
    <col min="24" max="24" width="8.7109375" hidden="1" customWidth="1"/>
    <col min="25" max="25" width="11" hidden="1" customWidth="1"/>
    <col min="26" max="26" width="15.7109375" hidden="1" customWidth="1"/>
    <col min="27" max="27" width="8.7109375" hidden="1" customWidth="1"/>
    <col min="28" max="28" width="14.85546875" hidden="1" customWidth="1"/>
    <col min="29" max="29" width="10.42578125" hidden="1" customWidth="1"/>
    <col min="30" max="16384" width="8.7109375" hidden="1"/>
  </cols>
  <sheetData>
    <row r="1" spans="1:30" ht="15" customHeight="1">
      <c r="A1" s="217"/>
      <c r="B1" s="217"/>
      <c r="C1" s="218"/>
      <c r="D1" s="218"/>
      <c r="E1" s="218"/>
      <c r="F1" s="218"/>
      <c r="G1" s="218"/>
      <c r="H1" s="218"/>
      <c r="I1" s="218"/>
      <c r="J1" s="218"/>
      <c r="K1" s="218"/>
      <c r="L1" s="218"/>
      <c r="M1" s="217"/>
      <c r="N1" s="826"/>
      <c r="O1" s="826"/>
      <c r="P1" s="826"/>
      <c r="Q1" s="826"/>
      <c r="R1" s="826"/>
      <c r="S1" s="826"/>
      <c r="T1" s="826"/>
      <c r="U1" s="217"/>
      <c r="V1" s="217"/>
      <c r="W1" s="217"/>
    </row>
    <row r="2" spans="1:30" ht="15" customHeight="1">
      <c r="A2" s="217"/>
      <c r="B2" s="217"/>
      <c r="C2" s="1909" t="s">
        <v>1222</v>
      </c>
      <c r="D2" s="1909"/>
      <c r="E2" s="1909"/>
      <c r="F2" s="1909"/>
      <c r="G2" s="1909"/>
      <c r="H2" s="1909"/>
      <c r="I2" s="1909"/>
      <c r="J2" s="1909"/>
      <c r="K2" s="1909"/>
      <c r="L2" s="1909"/>
      <c r="M2" s="1909"/>
      <c r="N2" s="826"/>
      <c r="O2" s="826"/>
      <c r="P2" s="826"/>
      <c r="Q2" s="826"/>
      <c r="R2" s="826"/>
      <c r="S2" s="826"/>
      <c r="T2" s="826"/>
      <c r="U2" s="217"/>
      <c r="V2" s="217"/>
      <c r="W2" s="217"/>
    </row>
    <row r="3" spans="1:30" ht="15" customHeight="1">
      <c r="A3" s="217"/>
      <c r="B3" s="217"/>
      <c r="C3" s="1909"/>
      <c r="D3" s="1909"/>
      <c r="E3" s="1909"/>
      <c r="F3" s="1909"/>
      <c r="G3" s="1909"/>
      <c r="H3" s="1909"/>
      <c r="I3" s="1909"/>
      <c r="J3" s="1909"/>
      <c r="K3" s="1909"/>
      <c r="L3" s="1909"/>
      <c r="M3" s="1909"/>
      <c r="N3" s="826"/>
      <c r="O3" s="826"/>
      <c r="P3" s="826"/>
      <c r="Q3" s="826"/>
      <c r="R3" s="826"/>
      <c r="S3" s="826"/>
      <c r="T3" s="826"/>
      <c r="U3" s="217"/>
      <c r="V3" s="217"/>
      <c r="W3" s="217"/>
    </row>
    <row r="4" spans="1:30" ht="15" customHeight="1" thickBot="1">
      <c r="A4" s="253"/>
      <c r="B4" s="253"/>
      <c r="C4" s="1975" t="s">
        <v>1223</v>
      </c>
      <c r="D4" s="1975"/>
      <c r="E4" s="1975"/>
      <c r="F4" s="254"/>
      <c r="G4" s="254"/>
      <c r="H4" s="254"/>
      <c r="I4" s="254"/>
      <c r="J4" s="254"/>
      <c r="K4" s="254"/>
      <c r="L4" s="254"/>
      <c r="M4" s="253"/>
      <c r="N4" s="827"/>
      <c r="O4" s="827"/>
      <c r="P4" s="827"/>
      <c r="Q4" s="827"/>
      <c r="R4" s="827"/>
      <c r="S4" s="827"/>
      <c r="T4" s="827"/>
      <c r="U4" s="253"/>
      <c r="V4" s="253"/>
      <c r="W4" s="253"/>
    </row>
    <row r="5" spans="1:30" ht="16.5" customHeight="1" thickTop="1">
      <c r="A5" s="104"/>
      <c r="B5" s="104"/>
      <c r="C5" s="104"/>
      <c r="D5" s="104"/>
      <c r="E5" s="104"/>
      <c r="F5" s="89"/>
      <c r="G5" s="89"/>
      <c r="H5" s="89"/>
      <c r="I5" s="104"/>
      <c r="J5" s="104"/>
      <c r="K5" s="104"/>
      <c r="L5" s="1976"/>
      <c r="M5" s="1976"/>
      <c r="N5" s="1976"/>
      <c r="O5" s="1976"/>
      <c r="P5" s="1977"/>
      <c r="Q5" s="185"/>
      <c r="R5" s="1923" t="s">
        <v>1075</v>
      </c>
      <c r="S5" s="1923"/>
      <c r="T5" s="1923"/>
      <c r="U5" s="1923"/>
      <c r="V5" s="1923"/>
      <c r="W5" s="1923"/>
    </row>
    <row r="6" spans="1:30" ht="8.25" customHeight="1" thickBot="1">
      <c r="A6" s="104"/>
      <c r="B6" s="104"/>
      <c r="C6" s="106"/>
      <c r="D6" s="106"/>
      <c r="E6" s="104"/>
      <c r="F6" s="89"/>
      <c r="G6" s="89"/>
      <c r="H6" s="89"/>
      <c r="I6" s="104"/>
      <c r="J6" s="104"/>
      <c r="K6" s="104"/>
      <c r="L6" s="1978"/>
      <c r="M6" s="1978"/>
      <c r="N6" s="1978"/>
      <c r="O6" s="1978"/>
      <c r="P6" s="1979"/>
      <c r="Q6" s="185"/>
      <c r="R6" s="1924"/>
      <c r="S6" s="1924"/>
      <c r="T6" s="1924"/>
      <c r="U6" s="1924"/>
      <c r="V6" s="1924"/>
      <c r="W6" s="1924"/>
    </row>
    <row r="7" spans="1:30" ht="15.75">
      <c r="A7" s="104"/>
      <c r="B7" s="166" t="s">
        <v>1224</v>
      </c>
      <c r="C7" s="163"/>
      <c r="D7" s="196"/>
      <c r="E7" s="89"/>
      <c r="F7" s="89"/>
      <c r="G7" s="89"/>
      <c r="H7" s="89"/>
      <c r="I7" s="1956" t="s">
        <v>745</v>
      </c>
      <c r="J7" s="1956"/>
      <c r="K7" s="1956"/>
      <c r="L7" s="1978"/>
      <c r="M7" s="1978"/>
      <c r="N7" s="1978"/>
      <c r="O7" s="1978"/>
      <c r="P7" s="1979"/>
      <c r="Q7" s="185"/>
      <c r="R7" s="89"/>
      <c r="S7" s="110" t="s">
        <v>1289</v>
      </c>
      <c r="T7" s="1845" t="s">
        <v>1290</v>
      </c>
      <c r="U7" s="1925"/>
      <c r="V7" s="1925"/>
      <c r="W7" s="1925"/>
      <c r="Y7" s="915" t="s">
        <v>418</v>
      </c>
      <c r="Z7" s="916"/>
      <c r="AB7" s="43" t="s">
        <v>299</v>
      </c>
      <c r="AC7" s="53" t="s">
        <v>809</v>
      </c>
      <c r="AD7" s="911" t="s">
        <v>756</v>
      </c>
    </row>
    <row r="8" spans="1:30" ht="15.75" customHeight="1">
      <c r="A8" s="104"/>
      <c r="B8" s="1724">
        <v>1</v>
      </c>
      <c r="C8" s="1725" t="s">
        <v>420</v>
      </c>
      <c r="D8" s="1726"/>
      <c r="E8" s="113" t="s">
        <v>372</v>
      </c>
      <c r="F8" s="337">
        <v>6</v>
      </c>
      <c r="G8" s="273" t="s">
        <v>386</v>
      </c>
      <c r="H8" s="89"/>
      <c r="I8" s="1956"/>
      <c r="J8" s="1956"/>
      <c r="K8" s="1956"/>
      <c r="L8" s="146"/>
      <c r="M8" s="146"/>
      <c r="N8" s="146"/>
      <c r="O8" s="146"/>
      <c r="P8" s="1229"/>
      <c r="Q8" s="185"/>
      <c r="R8" s="89"/>
      <c r="S8" s="110" t="s">
        <v>1060</v>
      </c>
      <c r="T8" s="1621">
        <v>0.72916666666666663</v>
      </c>
      <c r="U8" s="1926" t="s">
        <v>644</v>
      </c>
      <c r="V8" s="1926"/>
      <c r="W8" s="1926"/>
      <c r="Y8" s="917">
        <v>1</v>
      </c>
      <c r="Z8" s="918" t="str">
        <f>C8</f>
        <v>mel</v>
      </c>
      <c r="AB8" s="44" t="s">
        <v>385</v>
      </c>
      <c r="AC8" s="45" t="s">
        <v>385</v>
      </c>
      <c r="AD8" s="912">
        <v>1</v>
      </c>
    </row>
    <row r="9" spans="1:30" ht="16.5" thickBot="1">
      <c r="A9" s="104"/>
      <c r="B9" s="197">
        <v>0.57499999999999996</v>
      </c>
      <c r="C9" s="162" t="s">
        <v>1026</v>
      </c>
      <c r="D9" s="200"/>
      <c r="E9" s="113" t="s">
        <v>373</v>
      </c>
      <c r="F9" s="770">
        <v>270</v>
      </c>
      <c r="G9" s="568" t="s">
        <v>369</v>
      </c>
      <c r="H9" s="89"/>
      <c r="I9" s="334"/>
      <c r="J9" s="206" t="str">
        <f>C9</f>
        <v>hydrering</v>
      </c>
      <c r="K9" s="104"/>
      <c r="L9" s="104"/>
      <c r="M9" s="1216"/>
      <c r="N9" s="118"/>
      <c r="O9" s="118"/>
      <c r="P9" s="203"/>
      <c r="Q9" s="185"/>
      <c r="R9" s="89"/>
      <c r="S9" s="104"/>
      <c r="T9" s="1811">
        <f ca="1">TODAY()+MOD(MATCH(T7,{"Mandag";"Tirsdag";"Onsdag";"Torsdag";"Fredag";"Lørdag";"Søndag"},0)-WEEKDAY(TODAY(),2)+7,7)</f>
        <v>45926</v>
      </c>
      <c r="U9" s="1611"/>
      <c r="V9" s="207"/>
      <c r="W9" s="103"/>
      <c r="Y9" s="917">
        <f>IF(I9="",B9,I9)</f>
        <v>0.57499999999999996</v>
      </c>
      <c r="Z9" s="918" t="str">
        <f>C9</f>
        <v>hydrering</v>
      </c>
      <c r="AB9" s="44" t="s">
        <v>810</v>
      </c>
      <c r="AC9" s="45" t="s">
        <v>376</v>
      </c>
      <c r="AD9" s="913">
        <v>4</v>
      </c>
    </row>
    <row r="10" spans="1:30" ht="16.5" thickTop="1">
      <c r="A10" s="104"/>
      <c r="B10" s="201">
        <v>2.5000000000000001E-2</v>
      </c>
      <c r="C10" s="162" t="s">
        <v>375</v>
      </c>
      <c r="D10" s="200"/>
      <c r="E10" s="112"/>
      <c r="F10" s="109"/>
      <c r="G10" s="568"/>
      <c r="H10" s="89"/>
      <c r="I10" s="334"/>
      <c r="J10" s="206" t="str">
        <f>C10</f>
        <v>salt</v>
      </c>
      <c r="K10" s="104"/>
      <c r="L10" s="104"/>
      <c r="M10" s="1216"/>
      <c r="N10" s="118"/>
      <c r="O10" s="118"/>
      <c r="P10" s="203"/>
      <c r="Q10" s="185"/>
      <c r="R10" s="89"/>
      <c r="S10" s="104"/>
      <c r="T10" s="103"/>
      <c r="U10" s="1611"/>
      <c r="V10" s="207"/>
      <c r="W10" s="103"/>
      <c r="Y10" s="917">
        <f>IF(I10="",B10,I10)</f>
        <v>2.5000000000000001E-2</v>
      </c>
      <c r="Z10" s="918" t="str">
        <f>C10</f>
        <v>salt</v>
      </c>
      <c r="AB10" s="44" t="s">
        <v>811</v>
      </c>
      <c r="AC10" s="45" t="s">
        <v>376</v>
      </c>
      <c r="AD10" s="913">
        <v>3</v>
      </c>
    </row>
    <row r="11" spans="1:30" ht="15.75">
      <c r="A11" s="104"/>
      <c r="B11" s="1219">
        <v>3.7499999999999999E-3</v>
      </c>
      <c r="C11" s="162" t="s">
        <v>385</v>
      </c>
      <c r="D11" s="200"/>
      <c r="E11" s="825" t="s">
        <v>382</v>
      </c>
      <c r="F11" s="771">
        <f>F8*F9</f>
        <v>1620</v>
      </c>
      <c r="G11" s="571" t="s">
        <v>369</v>
      </c>
      <c r="H11" s="89"/>
      <c r="I11" s="1728"/>
      <c r="J11" s="1952" t="s">
        <v>810</v>
      </c>
      <c r="K11" s="1952"/>
      <c r="L11" s="1729">
        <f>IF(J11&lt;&gt;"tørgær",Y11,IF(I11="",B11,""))</f>
        <v>1.4999999999999999E-2</v>
      </c>
      <c r="M11" s="1216"/>
      <c r="N11" s="118"/>
      <c r="O11" s="118"/>
      <c r="P11" s="203"/>
      <c r="Q11" s="185"/>
      <c r="R11" s="89"/>
      <c r="S11" s="1607" t="s">
        <v>1089</v>
      </c>
      <c r="T11" s="1608"/>
      <c r="U11" s="1633">
        <v>6.25E-2</v>
      </c>
      <c r="V11" s="1927" t="s">
        <v>644</v>
      </c>
      <c r="W11" s="1927"/>
      <c r="Y11" s="917">
        <f>IF(J11="tørgær",IF(I11="",B11,I11),IF(I11="",B11,I11)*AD12)</f>
        <v>1.4999999999999999E-2</v>
      </c>
      <c r="Z11" s="918" t="str">
        <f>AC12</f>
        <v>frisk gær</v>
      </c>
      <c r="AA11" s="425"/>
      <c r="AB11" s="44" t="s">
        <v>805</v>
      </c>
      <c r="AC11" s="45" t="s">
        <v>808</v>
      </c>
      <c r="AD11" s="914">
        <v>3</v>
      </c>
    </row>
    <row r="12" spans="1:30" ht="15.75">
      <c r="A12" s="104"/>
      <c r="B12" s="201">
        <v>2.5000000000000001E-2</v>
      </c>
      <c r="C12" s="162" t="s">
        <v>919</v>
      </c>
      <c r="D12" s="200"/>
      <c r="E12" s="825"/>
      <c r="F12" s="771"/>
      <c r="G12" s="571"/>
      <c r="H12" s="89"/>
      <c r="I12" s="334"/>
      <c r="J12" s="206" t="str">
        <f>Z12</f>
        <v>sukker</v>
      </c>
      <c r="K12" s="104"/>
      <c r="L12" s="104"/>
      <c r="M12" s="1216"/>
      <c r="N12" s="1216"/>
      <c r="O12" s="1216"/>
      <c r="P12" s="203"/>
      <c r="Q12" s="185"/>
      <c r="R12" s="89"/>
      <c r="S12" s="475" t="s">
        <v>1247</v>
      </c>
      <c r="T12" s="1610"/>
      <c r="U12" s="1580">
        <v>1.875</v>
      </c>
      <c r="V12" s="1031" t="s">
        <v>644</v>
      </c>
      <c r="W12" s="1031"/>
      <c r="Y12" s="917">
        <f t="shared" ref="Y12:Y13" si="0">IF(I12="",B12,I12)</f>
        <v>2.5000000000000001E-2</v>
      </c>
      <c r="Z12" s="1079" t="s">
        <v>919</v>
      </c>
      <c r="AA12" s="425"/>
      <c r="AB12" s="909" t="s">
        <v>764</v>
      </c>
      <c r="AC12" s="910" t="str">
        <f>VLOOKUP(J11,AB8:AC11,2,FALSE)</f>
        <v>frisk gær</v>
      </c>
      <c r="AD12" s="921">
        <f>VLOOKUP(J11,AB8:AD11,3,FALSE)</f>
        <v>4</v>
      </c>
    </row>
    <row r="13" spans="1:30" ht="16.5" thickBot="1">
      <c r="A13" s="104"/>
      <c r="B13" s="786">
        <v>0.02</v>
      </c>
      <c r="C13" s="1230" t="str">
        <f>Z13</f>
        <v>olivenolie</v>
      </c>
      <c r="D13" s="202"/>
      <c r="E13" s="825"/>
      <c r="F13" s="771"/>
      <c r="G13" s="571"/>
      <c r="H13" s="89"/>
      <c r="I13" s="334"/>
      <c r="J13" s="206" t="str">
        <f>Z13</f>
        <v>olivenolie</v>
      </c>
      <c r="K13" s="104"/>
      <c r="L13" s="104"/>
      <c r="M13" s="1216"/>
      <c r="N13" s="1216"/>
      <c r="O13" s="1216"/>
      <c r="P13" s="203"/>
      <c r="Q13" s="185"/>
      <c r="R13" s="89"/>
      <c r="S13" s="89"/>
      <c r="T13" s="89"/>
      <c r="U13" s="89"/>
      <c r="V13" s="89"/>
      <c r="W13" s="89"/>
      <c r="Y13" s="917">
        <f t="shared" si="0"/>
        <v>0.02</v>
      </c>
      <c r="Z13" s="1079" t="s">
        <v>646</v>
      </c>
      <c r="AA13" s="425"/>
      <c r="AD13" s="18"/>
    </row>
    <row r="14" spans="1:30" ht="15.75">
      <c r="A14" s="104"/>
      <c r="B14" s="772"/>
      <c r="C14" s="162"/>
      <c r="D14" s="162"/>
      <c r="E14" s="89"/>
      <c r="F14" s="475"/>
      <c r="G14" s="112"/>
      <c r="H14" s="89"/>
      <c r="I14" s="207"/>
      <c r="J14" s="568"/>
      <c r="K14" s="89"/>
      <c r="L14" s="89"/>
      <c r="M14" s="89"/>
      <c r="N14" s="104"/>
      <c r="O14" s="104"/>
      <c r="P14" s="203"/>
      <c r="Q14" s="89"/>
      <c r="R14" s="89"/>
      <c r="S14" s="1607" t="str">
        <f ca="1">S20</f>
        <v>Dag 3</v>
      </c>
      <c r="T14" s="1608"/>
      <c r="U14" s="1633"/>
      <c r="V14" s="1031"/>
      <c r="W14" s="1031"/>
      <c r="Y14" s="1701"/>
      <c r="Z14" s="1701"/>
      <c r="AA14" s="436"/>
    </row>
    <row r="15" spans="1:30" ht="15.75" customHeight="1">
      <c r="A15" s="89"/>
      <c r="B15" s="1480"/>
      <c r="C15" s="1954" t="str">
        <f>C2</f>
        <v>PizzaPal's New York Style</v>
      </c>
      <c r="D15" s="1954"/>
      <c r="E15" s="1954"/>
      <c r="F15" s="1954"/>
      <c r="G15" s="1954"/>
      <c r="H15" s="1954"/>
      <c r="I15" s="1954"/>
      <c r="J15" s="1954"/>
      <c r="K15" s="1954"/>
      <c r="L15" s="9"/>
      <c r="M15" s="9"/>
      <c r="N15" s="9"/>
      <c r="O15" s="10"/>
      <c r="P15" s="203"/>
      <c r="Q15" s="89"/>
      <c r="R15" s="89"/>
      <c r="S15" s="475" t="s">
        <v>1245</v>
      </c>
      <c r="T15" s="104"/>
      <c r="U15" s="1579">
        <v>8.3333333333333329E-2</v>
      </c>
      <c r="V15" s="1031" t="s">
        <v>644</v>
      </c>
      <c r="W15" s="1600"/>
      <c r="Y15" s="1702"/>
      <c r="Z15" s="1704"/>
      <c r="AA15" s="482"/>
    </row>
    <row r="16" spans="1:30" ht="15.75" customHeight="1">
      <c r="A16" s="89"/>
      <c r="B16" s="1481"/>
      <c r="C16" s="1887"/>
      <c r="D16" s="1887"/>
      <c r="E16" s="1887"/>
      <c r="F16" s="1887"/>
      <c r="G16" s="1887"/>
      <c r="H16" s="1887"/>
      <c r="I16" s="1887"/>
      <c r="J16" s="1887"/>
      <c r="K16" s="1887"/>
      <c r="O16" s="758"/>
      <c r="P16" s="203"/>
      <c r="Q16" s="185"/>
      <c r="R16" s="89"/>
      <c r="S16" s="89"/>
      <c r="T16" s="89"/>
      <c r="U16" s="89"/>
      <c r="V16" s="89"/>
      <c r="W16" s="89"/>
      <c r="Y16" s="1703"/>
      <c r="Z16" s="1264"/>
      <c r="AA16" s="482"/>
      <c r="AB16" s="529"/>
    </row>
    <row r="17" spans="1:28" ht="15.75" customHeight="1" thickBot="1">
      <c r="A17" s="89"/>
      <c r="B17" s="1481"/>
      <c r="C17" s="1887"/>
      <c r="D17" s="1887"/>
      <c r="E17" s="1887"/>
      <c r="F17" s="1887"/>
      <c r="G17" s="1887"/>
      <c r="H17" s="1887"/>
      <c r="I17" s="1887"/>
      <c r="J17" s="1887"/>
      <c r="K17" s="1887"/>
      <c r="O17" s="758"/>
      <c r="P17" s="203"/>
      <c r="Q17" s="185"/>
      <c r="R17" s="89"/>
      <c r="S17" s="1601" t="str">
        <f ca="1">"Samlet tid  ("&amp;_xlfn.DAYS(T20,T19)&amp;" dage)"</f>
        <v>Samlet tid  (2 dage)</v>
      </c>
      <c r="T17" s="1602"/>
      <c r="U17" s="1603">
        <f>SUM(U11:U15)</f>
        <v>2.0208333333333335</v>
      </c>
      <c r="V17" s="1604" t="s">
        <v>644</v>
      </c>
      <c r="W17" s="89"/>
      <c r="Y17" s="1701"/>
      <c r="Z17" s="1264"/>
      <c r="AA17" s="482"/>
      <c r="AB17" s="529"/>
    </row>
    <row r="18" spans="1:28" ht="15.75">
      <c r="A18" s="89"/>
      <c r="B18" s="1709" t="s">
        <v>746</v>
      </c>
      <c r="C18" s="5" t="s">
        <v>1236</v>
      </c>
      <c r="E18" s="5"/>
      <c r="L18" s="1919" t="s">
        <v>1054</v>
      </c>
      <c r="M18" s="1920"/>
      <c r="N18" s="1921"/>
      <c r="O18" s="758"/>
      <c r="P18" s="203"/>
      <c r="Q18" s="185"/>
      <c r="R18" s="89"/>
      <c r="S18" s="103"/>
      <c r="T18" s="1605"/>
      <c r="U18" s="1605"/>
      <c r="V18" s="1606"/>
      <c r="W18" s="89"/>
      <c r="Y18" s="1701"/>
      <c r="Z18" s="1264"/>
      <c r="AA18" s="482"/>
      <c r="AB18" s="529"/>
    </row>
    <row r="19" spans="1:28" ht="15.75">
      <c r="A19" s="89"/>
      <c r="B19" s="1447"/>
      <c r="C19" t="s">
        <v>1231</v>
      </c>
      <c r="E19" s="5"/>
      <c r="L19" s="1916" t="str">
        <f>F8&amp;" pizzaer a "&amp;ROUND(F9,0)&amp;" g. -  "&amp;ROUND(Y9*100,0)&amp;"% hydrering"</f>
        <v>6 pizzaer a 270 g. -  58% hydrering</v>
      </c>
      <c r="M19" s="1917"/>
      <c r="N19" s="1918"/>
      <c r="O19" s="758"/>
      <c r="P19" s="203"/>
      <c r="Q19" s="185"/>
      <c r="R19" s="89"/>
      <c r="S19" s="1614" t="s">
        <v>0</v>
      </c>
      <c r="T19" s="1922">
        <f ca="1">IF(T9="","?",T9-U17+T8)</f>
        <v>45924.708333333328</v>
      </c>
      <c r="U19" s="1922"/>
      <c r="V19" s="1922"/>
      <c r="W19" s="89"/>
      <c r="Y19" s="1701"/>
      <c r="Z19" s="1264"/>
      <c r="AA19" s="482"/>
      <c r="AB19" s="529"/>
    </row>
    <row r="20" spans="1:28" ht="15.75">
      <c r="A20" s="89"/>
      <c r="B20" s="1710" t="s">
        <v>746</v>
      </c>
      <c r="C20" t="str">
        <f>IF(AC12="tørgær","Tørgæren arbejder bedst når vandet er 25-27°.","Frisk gær kan opløses i koldt eller lunkent vand.")</f>
        <v>Frisk gær kan opløses i koldt eller lunkent vand.</v>
      </c>
      <c r="L20" s="44"/>
      <c r="N20" s="45"/>
      <c r="O20" s="758"/>
      <c r="P20" s="203"/>
      <c r="Q20" s="185"/>
      <c r="R20" s="89"/>
      <c r="S20" s="1614" t="str">
        <f ca="1">"Dag "&amp;IF(T9="","?",_xlfn.DAYS(T20,T19)+1)</f>
        <v>Dag 3</v>
      </c>
      <c r="T20" s="1950">
        <f ca="1">IF(T9="","?",T19+SUM(U11:U12))</f>
        <v>45926.645833333328</v>
      </c>
      <c r="U20" s="1950"/>
      <c r="V20" s="1950"/>
      <c r="W20" s="89"/>
      <c r="Y20" s="1701"/>
      <c r="Z20" s="1701"/>
      <c r="AA20" s="482"/>
      <c r="AB20" s="529"/>
    </row>
    <row r="21" spans="1:28" ht="15.75">
      <c r="A21" s="89"/>
      <c r="B21" s="1709" t="s">
        <v>746</v>
      </c>
      <c r="C21" t="s">
        <v>1233</v>
      </c>
      <c r="E21" s="823"/>
      <c r="F21" s="1484"/>
      <c r="G21" s="1484"/>
      <c r="H21" s="1484"/>
      <c r="I21" s="1484"/>
      <c r="J21" s="1484"/>
      <c r="L21" s="1374">
        <f>$F$11*(Y8/SUM($Y$8:$Y$15))</f>
        <v>975.90361445783162</v>
      </c>
      <c r="M21" s="248" t="str">
        <f>"g "&amp;C8</f>
        <v>g mel</v>
      </c>
      <c r="N21" s="1735">
        <f>Y8</f>
        <v>1</v>
      </c>
      <c r="O21" s="758"/>
      <c r="P21" s="203"/>
      <c r="Q21" s="1630"/>
      <c r="R21" s="1631"/>
      <c r="S21" s="1632"/>
      <c r="T21" s="1631"/>
      <c r="U21" s="1631"/>
      <c r="V21" s="1631"/>
      <c r="W21" s="1631"/>
      <c r="Y21" s="1701"/>
      <c r="Z21" s="1701"/>
      <c r="AB21" s="482"/>
    </row>
    <row r="22" spans="1:28" ht="15.75">
      <c r="A22" s="89"/>
      <c r="B22" s="1711"/>
      <c r="C22" s="37" t="s">
        <v>1234</v>
      </c>
      <c r="L22" s="1493">
        <f>$F$11*(Y11/SUM($Y$8:$Y$13))</f>
        <v>14.638554216867472</v>
      </c>
      <c r="M22" s="248" t="str">
        <f>"g "&amp;AC12</f>
        <v>g frisk gær</v>
      </c>
      <c r="N22" s="1784">
        <f>Y11</f>
        <v>1.4999999999999999E-2</v>
      </c>
      <c r="O22" s="758"/>
      <c r="P22" s="203"/>
      <c r="Q22" s="185"/>
      <c r="R22" s="89"/>
      <c r="S22" s="787"/>
      <c r="T22" s="89"/>
      <c r="U22" s="89"/>
      <c r="V22" s="89"/>
      <c r="W22" s="89"/>
      <c r="Y22" s="1701"/>
      <c r="Z22" s="1701"/>
    </row>
    <row r="23" spans="1:28" ht="15.75">
      <c r="A23" s="89"/>
      <c r="B23" s="1447"/>
      <c r="C23" s="1484" t="s">
        <v>1235</v>
      </c>
      <c r="L23" s="1510">
        <f>$F$11*(Y10/SUM($Y$8:$Y$13))</f>
        <v>24.39759036144579</v>
      </c>
      <c r="M23" s="248" t="s">
        <v>29</v>
      </c>
      <c r="N23" s="1736">
        <f>Y10</f>
        <v>2.5000000000000001E-2</v>
      </c>
      <c r="O23" s="758"/>
      <c r="P23" s="203"/>
      <c r="Q23" s="185"/>
      <c r="R23" s="89"/>
      <c r="S23" s="787"/>
      <c r="T23" s="787"/>
      <c r="U23" s="787"/>
      <c r="V23" s="89"/>
      <c r="W23" s="89"/>
      <c r="Y23" s="1701"/>
      <c r="Z23" s="1701"/>
    </row>
    <row r="24" spans="1:28" ht="15.75">
      <c r="A24" s="89"/>
      <c r="B24" s="1710" t="s">
        <v>746</v>
      </c>
      <c r="C24" t="s">
        <v>1251</v>
      </c>
      <c r="L24" s="1510">
        <f>$F$11*(Y12/SUM($Y$8:$Y$13))</f>
        <v>24.39759036144579</v>
      </c>
      <c r="M24" t="s">
        <v>202</v>
      </c>
      <c r="N24" s="1736">
        <f>Y12</f>
        <v>2.5000000000000001E-2</v>
      </c>
      <c r="O24" s="758"/>
      <c r="P24" s="203"/>
      <c r="Q24" s="185"/>
      <c r="R24" s="89"/>
      <c r="S24" s="787"/>
      <c r="T24" s="787"/>
      <c r="U24" s="787"/>
      <c r="V24" s="89"/>
      <c r="W24" s="89"/>
      <c r="Y24" s="1701"/>
      <c r="Z24" s="1701"/>
    </row>
    <row r="25" spans="1:28" ht="15.75">
      <c r="A25" s="89"/>
      <c r="B25" s="1447"/>
      <c r="C25" t="s">
        <v>1252</v>
      </c>
      <c r="L25" s="1374">
        <f>$F$11*(Y9/SUM($Y$8:$Y$15))</f>
        <v>561.14457831325308</v>
      </c>
      <c r="M25" s="248" t="s">
        <v>444</v>
      </c>
      <c r="N25" s="1737">
        <f>Y9</f>
        <v>0.57499999999999996</v>
      </c>
      <c r="O25" s="758"/>
      <c r="P25" s="203"/>
      <c r="Q25" s="185"/>
      <c r="R25" s="89"/>
      <c r="S25" s="787"/>
      <c r="T25" s="787"/>
      <c r="U25" s="787"/>
      <c r="V25" s="89"/>
      <c r="W25" s="89"/>
      <c r="Y25" s="1701"/>
    </row>
    <row r="26" spans="1:28" ht="15.75">
      <c r="A26" s="89"/>
      <c r="B26" s="1710" t="s">
        <v>746</v>
      </c>
      <c r="C26" s="1462" t="s">
        <v>968</v>
      </c>
      <c r="L26" s="1511">
        <f>$F$11*(Y13/SUM($Y$8:$Y$13))</f>
        <v>19.518072289156631</v>
      </c>
      <c r="M26" s="832" t="s">
        <v>207</v>
      </c>
      <c r="N26" s="1738">
        <f>Y13</f>
        <v>0.02</v>
      </c>
      <c r="O26" s="45"/>
      <c r="P26" s="203"/>
      <c r="Q26" s="185"/>
      <c r="R26" s="89"/>
      <c r="S26" s="134"/>
      <c r="T26" s="93"/>
      <c r="U26" s="89"/>
      <c r="V26" s="89"/>
      <c r="W26" s="89"/>
      <c r="Y26" s="1701"/>
      <c r="Z26" s="1701"/>
    </row>
    <row r="27" spans="1:28" ht="15.75" customHeight="1">
      <c r="A27" s="89"/>
      <c r="B27" s="44"/>
      <c r="C27" s="1462" t="s">
        <v>1242</v>
      </c>
      <c r="L27" s="1512">
        <f>SUM(L21:L26)</f>
        <v>1620.0000000000002</v>
      </c>
      <c r="M27" s="105" t="s">
        <v>326</v>
      </c>
      <c r="N27" s="45"/>
      <c r="O27" s="45"/>
      <c r="P27" s="203"/>
      <c r="Q27" s="185"/>
      <c r="R27" s="89"/>
      <c r="S27" s="134"/>
      <c r="T27" s="93"/>
      <c r="U27" s="89"/>
      <c r="V27" s="89"/>
      <c r="W27" s="89"/>
      <c r="Y27" s="1701"/>
      <c r="Z27" s="1701"/>
    </row>
    <row r="28" spans="1:28" ht="15.75" customHeight="1">
      <c r="A28" s="89"/>
      <c r="B28" s="44"/>
      <c r="C28" s="1461" t="s">
        <v>1243</v>
      </c>
      <c r="L28" s="47"/>
      <c r="M28" s="82"/>
      <c r="N28" s="48"/>
      <c r="O28" s="45"/>
      <c r="P28" s="203"/>
      <c r="Q28" s="185"/>
      <c r="R28" s="89"/>
      <c r="S28" s="134"/>
      <c r="T28" s="93"/>
      <c r="U28" s="89"/>
      <c r="V28" s="89"/>
      <c r="W28" s="89"/>
    </row>
    <row r="29" spans="1:28" ht="15.75">
      <c r="A29" s="89"/>
      <c r="B29" s="44"/>
      <c r="O29" s="45"/>
      <c r="P29" s="203"/>
      <c r="Q29" s="185"/>
      <c r="R29" s="89"/>
      <c r="S29" s="134"/>
      <c r="T29" s="93"/>
      <c r="U29" s="89"/>
      <c r="V29" s="89"/>
      <c r="W29" s="89"/>
    </row>
    <row r="30" spans="1:28" ht="15.75">
      <c r="A30" s="89"/>
      <c r="B30" s="44"/>
      <c r="O30" s="45"/>
      <c r="P30" s="203"/>
      <c r="Q30" s="185"/>
      <c r="R30" s="89"/>
      <c r="S30" s="134"/>
      <c r="T30" s="93"/>
      <c r="U30" s="89"/>
      <c r="V30" s="89"/>
      <c r="W30" s="89"/>
    </row>
    <row r="31" spans="1:28" ht="18">
      <c r="A31" s="89"/>
      <c r="B31" s="1479" t="s">
        <v>1035</v>
      </c>
      <c r="C31" s="1491" t="s">
        <v>0</v>
      </c>
      <c r="D31" s="82"/>
      <c r="E31" s="1215"/>
      <c r="F31" s="536"/>
      <c r="G31" s="82"/>
      <c r="H31" s="807"/>
      <c r="I31" s="808"/>
      <c r="J31" s="536"/>
      <c r="K31" s="536"/>
      <c r="L31" s="1785" t="str">
        <f ca="1">TEXT(T19,"dddd")</f>
        <v>onsdag</v>
      </c>
      <c r="M31" s="1951">
        <f ca="1">IF($T$8="","",T19)</f>
        <v>45924.708333333328</v>
      </c>
      <c r="N31" s="1951"/>
      <c r="O31" s="758"/>
      <c r="P31" s="203"/>
      <c r="Q31" s="185"/>
      <c r="R31" s="89"/>
      <c r="S31" s="134"/>
      <c r="T31" s="93"/>
      <c r="U31" s="89"/>
      <c r="V31" s="89"/>
      <c r="W31" s="89"/>
    </row>
    <row r="32" spans="1:28" ht="15.75">
      <c r="A32" s="89"/>
      <c r="B32" s="1057"/>
      <c r="C32" s="105"/>
      <c r="D32" s="105"/>
      <c r="E32" s="105"/>
      <c r="F32" s="105"/>
      <c r="G32" s="105"/>
      <c r="H32" s="105"/>
      <c r="I32" s="105"/>
      <c r="J32" s="105"/>
      <c r="O32" s="758"/>
      <c r="P32" s="203"/>
      <c r="Q32" s="185"/>
      <c r="R32" s="89"/>
      <c r="S32" s="134"/>
      <c r="T32" s="93"/>
      <c r="U32" s="89"/>
      <c r="V32" s="89"/>
      <c r="W32" s="89"/>
    </row>
    <row r="33" spans="1:23" ht="15.75" customHeight="1">
      <c r="A33" s="89"/>
      <c r="B33" s="1398" t="s">
        <v>1034</v>
      </c>
      <c r="C33" s="708">
        <v>1</v>
      </c>
      <c r="D33" s="425" t="s">
        <v>1225</v>
      </c>
      <c r="E33" s="425"/>
      <c r="F33" s="425"/>
      <c r="G33" s="425"/>
      <c r="H33" s="425"/>
      <c r="I33" s="425"/>
      <c r="J33" s="105"/>
      <c r="M33" s="1708" t="str">
        <f>ROUND(L25,0)&amp;" g vand"</f>
        <v>561 g vand</v>
      </c>
      <c r="N33" s="1707"/>
      <c r="O33" s="758"/>
      <c r="P33" s="203"/>
      <c r="Q33" s="185"/>
      <c r="R33" s="89"/>
      <c r="S33" s="134"/>
      <c r="T33" s="93"/>
      <c r="U33" s="89"/>
      <c r="V33" s="89"/>
      <c r="W33" s="89"/>
    </row>
    <row r="34" spans="1:23" ht="15.75">
      <c r="A34" s="89"/>
      <c r="B34" s="7"/>
      <c r="C34" s="105"/>
      <c r="D34" s="105"/>
      <c r="E34" s="105"/>
      <c r="F34" s="105"/>
      <c r="G34" s="105"/>
      <c r="H34" s="105"/>
      <c r="I34" s="105"/>
      <c r="J34" s="105"/>
      <c r="M34" s="1716"/>
      <c r="N34" s="1504"/>
      <c r="O34" s="758"/>
      <c r="P34" s="203"/>
      <c r="Q34" s="93"/>
      <c r="R34" s="93"/>
      <c r="S34" s="93"/>
      <c r="T34" s="93"/>
      <c r="U34" s="89"/>
      <c r="V34" s="89"/>
      <c r="W34" s="89"/>
    </row>
    <row r="35" spans="1:23" ht="18">
      <c r="A35" s="89"/>
      <c r="B35" s="1398" t="s">
        <v>1034</v>
      </c>
      <c r="C35" s="708">
        <v>2</v>
      </c>
      <c r="D35" s="425" t="s">
        <v>1226</v>
      </c>
      <c r="E35" s="425"/>
      <c r="F35" s="425"/>
      <c r="G35" s="425"/>
      <c r="H35" s="425"/>
      <c r="I35" s="425"/>
      <c r="J35" s="425"/>
      <c r="M35" s="1973" t="str">
        <f>ROUND(L22,2)&amp;" g. "&amp;AC12</f>
        <v>14,64 g. frisk gær</v>
      </c>
      <c r="N35" s="1974"/>
      <c r="O35" s="758"/>
      <c r="P35" s="203"/>
      <c r="Q35" s="185"/>
      <c r="R35" s="89"/>
      <c r="S35" s="134"/>
      <c r="T35" s="93"/>
      <c r="U35" s="89"/>
      <c r="V35" s="89"/>
      <c r="W35" s="89"/>
    </row>
    <row r="36" spans="1:23" ht="15.75">
      <c r="A36" s="89"/>
      <c r="B36" s="7"/>
      <c r="C36" s="105"/>
      <c r="D36" s="105"/>
      <c r="E36" s="105"/>
      <c r="F36" s="105"/>
      <c r="G36" s="105"/>
      <c r="H36" s="105"/>
      <c r="I36" s="105"/>
      <c r="J36" s="105"/>
      <c r="M36" s="1717"/>
      <c r="N36" s="1718"/>
      <c r="O36" s="758"/>
      <c r="P36" s="203"/>
      <c r="Q36" s="185"/>
      <c r="R36" s="89"/>
      <c r="S36" s="134"/>
      <c r="T36" s="93"/>
      <c r="U36" s="89"/>
      <c r="V36" s="89"/>
      <c r="W36" s="89"/>
    </row>
    <row r="37" spans="1:23" ht="18">
      <c r="A37" s="89"/>
      <c r="B37" s="1398" t="s">
        <v>1034</v>
      </c>
      <c r="C37" s="708">
        <v>3</v>
      </c>
      <c r="D37" s="425" t="s">
        <v>1227</v>
      </c>
      <c r="E37" s="425"/>
      <c r="F37" s="425"/>
      <c r="G37" s="425"/>
      <c r="H37" s="425"/>
      <c r="I37" s="425"/>
      <c r="J37" s="425"/>
      <c r="K37" s="5"/>
      <c r="M37" s="1708" t="str">
        <f>ROUND(L24,0)&amp;" g sukker"</f>
        <v>24 g sukker</v>
      </c>
      <c r="N37" s="1706"/>
      <c r="O37" s="758"/>
      <c r="P37" s="203"/>
      <c r="Q37" s="185"/>
      <c r="R37" s="89"/>
      <c r="S37" s="134"/>
      <c r="T37" s="93"/>
      <c r="U37" s="89"/>
      <c r="V37" s="89"/>
      <c r="W37" s="89"/>
    </row>
    <row r="38" spans="1:23" ht="15.75">
      <c r="A38" s="89"/>
      <c r="B38" s="7"/>
      <c r="C38" s="708"/>
      <c r="D38" s="425"/>
      <c r="E38" s="425"/>
      <c r="F38" s="425"/>
      <c r="G38" s="425"/>
      <c r="H38" s="425"/>
      <c r="I38" s="425"/>
      <c r="J38" s="425"/>
      <c r="K38" s="5"/>
      <c r="M38" s="1719"/>
      <c r="N38" s="1641"/>
      <c r="O38" s="758"/>
      <c r="P38" s="203"/>
      <c r="Q38" s="185"/>
      <c r="R38" s="89"/>
      <c r="S38" s="134"/>
      <c r="T38" s="93"/>
      <c r="U38" s="89"/>
      <c r="V38" s="89"/>
      <c r="W38" s="89"/>
    </row>
    <row r="39" spans="1:23" ht="18">
      <c r="A39" s="89"/>
      <c r="B39" s="1398" t="s">
        <v>1034</v>
      </c>
      <c r="C39" s="708">
        <v>4</v>
      </c>
      <c r="D39" s="224" t="s">
        <v>1228</v>
      </c>
      <c r="E39" s="105"/>
      <c r="F39" s="105"/>
      <c r="G39" s="105"/>
      <c r="H39" s="105"/>
      <c r="I39" s="105"/>
      <c r="J39" s="105"/>
      <c r="K39" s="5"/>
      <c r="M39" s="1708" t="str">
        <f>ROUND(L21/2,0)&amp;" g mel"</f>
        <v>488 g mel</v>
      </c>
      <c r="N39" s="1706"/>
      <c r="O39" s="758"/>
      <c r="P39" s="203"/>
      <c r="Q39" s="185"/>
      <c r="R39" s="89"/>
      <c r="S39" s="134"/>
      <c r="T39" s="93"/>
      <c r="U39" s="89"/>
      <c r="V39" s="89"/>
      <c r="W39" s="89"/>
    </row>
    <row r="40" spans="1:23" ht="15.75">
      <c r="A40" s="89"/>
      <c r="B40" s="44"/>
      <c r="C40" s="708"/>
      <c r="D40" s="425"/>
      <c r="E40" s="425"/>
      <c r="F40" s="425"/>
      <c r="G40" s="425"/>
      <c r="H40" s="425"/>
      <c r="I40" s="425"/>
      <c r="J40" s="425"/>
      <c r="M40" s="1720"/>
      <c r="N40" s="1504"/>
      <c r="O40" s="45"/>
      <c r="P40" s="203"/>
      <c r="Q40" s="185"/>
      <c r="R40" s="89"/>
      <c r="S40" s="134"/>
      <c r="T40" s="93"/>
      <c r="U40" s="89"/>
      <c r="V40" s="89"/>
      <c r="W40" s="89"/>
    </row>
    <row r="41" spans="1:23" ht="18">
      <c r="A41" s="89"/>
      <c r="B41" s="1398" t="s">
        <v>1034</v>
      </c>
      <c r="C41" s="708">
        <v>5</v>
      </c>
      <c r="D41" s="425" t="s">
        <v>1229</v>
      </c>
      <c r="E41" s="425"/>
      <c r="F41" s="425"/>
      <c r="G41" s="425"/>
      <c r="H41" s="425"/>
      <c r="I41" s="425"/>
      <c r="J41" s="425"/>
      <c r="M41" s="1708" t="str">
        <f>ROUND(L23,0)&amp;" g salt"</f>
        <v>24 g salt</v>
      </c>
      <c r="N41" s="1706"/>
      <c r="O41" s="45"/>
      <c r="P41" s="203"/>
      <c r="Q41" s="185"/>
      <c r="R41" s="89"/>
      <c r="S41" s="134"/>
      <c r="T41" s="93"/>
      <c r="U41" s="89"/>
      <c r="V41" s="89"/>
      <c r="W41" s="89"/>
    </row>
    <row r="42" spans="1:23" ht="15.75">
      <c r="A42" s="89"/>
      <c r="B42" s="44"/>
      <c r="C42" s="708"/>
      <c r="D42" s="425"/>
      <c r="E42" s="425"/>
      <c r="F42" s="425"/>
      <c r="G42" s="425"/>
      <c r="H42" s="425"/>
      <c r="I42" s="425"/>
      <c r="J42" s="425"/>
      <c r="L42" s="1504"/>
      <c r="M42" s="1720"/>
      <c r="N42" s="1504"/>
      <c r="O42" s="45"/>
      <c r="P42" s="203"/>
      <c r="Q42" s="185"/>
      <c r="R42" s="89"/>
      <c r="S42" s="134"/>
      <c r="T42" s="93"/>
      <c r="U42" s="89"/>
      <c r="V42" s="89"/>
      <c r="W42" s="89"/>
    </row>
    <row r="43" spans="1:23" ht="18">
      <c r="A43" s="89"/>
      <c r="B43" s="1398" t="s">
        <v>1034</v>
      </c>
      <c r="C43" s="708">
        <v>6</v>
      </c>
      <c r="D43" s="425" t="s">
        <v>1241</v>
      </c>
      <c r="E43" s="425"/>
      <c r="F43" s="425"/>
      <c r="G43" s="425"/>
      <c r="H43" s="425"/>
      <c r="I43" s="425"/>
      <c r="J43" s="425"/>
      <c r="L43" s="1504"/>
      <c r="M43" s="1708" t="str">
        <f>ROUND(L21/2,0)&amp;" g mel"</f>
        <v>488 g mel</v>
      </c>
      <c r="N43" s="1706"/>
      <c r="O43" s="45"/>
      <c r="P43" s="203"/>
      <c r="Q43" s="185"/>
      <c r="R43" s="89"/>
      <c r="S43" s="134"/>
      <c r="T43" s="93"/>
      <c r="U43" s="89"/>
      <c r="V43" s="89"/>
      <c r="W43" s="89"/>
    </row>
    <row r="44" spans="1:23" ht="15.75">
      <c r="A44" s="89"/>
      <c r="B44" s="44"/>
      <c r="C44" s="708"/>
      <c r="D44" s="425"/>
      <c r="E44" s="425"/>
      <c r="F44" s="425"/>
      <c r="G44" s="425"/>
      <c r="H44" s="425"/>
      <c r="I44" s="425"/>
      <c r="J44" s="425"/>
      <c r="L44" s="1504"/>
      <c r="M44" s="1720"/>
      <c r="N44" s="1504"/>
      <c r="O44" s="45"/>
      <c r="P44" s="203"/>
      <c r="Q44" s="185"/>
      <c r="R44" s="89"/>
      <c r="S44" s="134"/>
      <c r="T44" s="93"/>
      <c r="U44" s="89"/>
      <c r="V44" s="89"/>
      <c r="W44" s="89"/>
    </row>
    <row r="45" spans="1:23" ht="18">
      <c r="A45" s="89"/>
      <c r="B45" s="1398" t="s">
        <v>1034</v>
      </c>
      <c r="C45" s="708">
        <v>7</v>
      </c>
      <c r="D45" s="425" t="s">
        <v>1240</v>
      </c>
      <c r="E45" s="425"/>
      <c r="F45" s="425"/>
      <c r="G45" s="425"/>
      <c r="H45" s="425"/>
      <c r="I45" s="425"/>
      <c r="J45" s="425"/>
      <c r="L45" s="1504"/>
      <c r="M45" s="1708" t="str">
        <f>ROUND(L26,0)&amp;" g olie"</f>
        <v>20 g olie</v>
      </c>
      <c r="N45" s="1706"/>
      <c r="O45" s="45"/>
      <c r="P45" s="203"/>
      <c r="Q45" s="185"/>
      <c r="R45" s="89"/>
      <c r="S45" s="134"/>
      <c r="T45" s="93"/>
      <c r="U45" s="89"/>
      <c r="V45" s="89"/>
      <c r="W45" s="89"/>
    </row>
    <row r="46" spans="1:23" ht="15.75">
      <c r="A46" s="89"/>
      <c r="B46" s="44"/>
      <c r="F46" s="425"/>
      <c r="G46" s="425"/>
      <c r="H46" s="425"/>
      <c r="I46" s="425"/>
      <c r="J46" s="425"/>
      <c r="O46" s="45"/>
      <c r="P46" s="203"/>
      <c r="Q46" s="185"/>
      <c r="R46" s="89"/>
      <c r="S46" s="134"/>
      <c r="T46" s="93"/>
      <c r="U46" s="89"/>
      <c r="V46" s="89"/>
      <c r="W46" s="89"/>
    </row>
    <row r="47" spans="1:23" ht="18">
      <c r="A47" s="89"/>
      <c r="B47" s="1398" t="s">
        <v>1034</v>
      </c>
      <c r="C47" s="708">
        <v>8</v>
      </c>
      <c r="D47" s="425" t="s">
        <v>1230</v>
      </c>
      <c r="E47" s="425"/>
      <c r="F47" s="425"/>
      <c r="G47" s="425"/>
      <c r="H47" s="425"/>
      <c r="I47" s="425"/>
      <c r="J47" s="425"/>
      <c r="O47" s="45"/>
      <c r="P47" s="203"/>
      <c r="Q47" s="185"/>
      <c r="R47" s="89"/>
      <c r="S47" s="134"/>
      <c r="T47" s="93"/>
      <c r="U47" s="89"/>
      <c r="V47" s="89"/>
      <c r="W47" s="89"/>
    </row>
    <row r="48" spans="1:23" ht="15.75">
      <c r="A48" s="89"/>
      <c r="B48" s="44"/>
      <c r="C48" s="708"/>
      <c r="D48" s="425"/>
      <c r="E48" s="425"/>
      <c r="F48" s="425"/>
      <c r="G48" s="425"/>
      <c r="H48" s="425"/>
      <c r="I48" s="425"/>
      <c r="J48" s="425"/>
      <c r="O48" s="45"/>
      <c r="P48" s="203"/>
      <c r="Q48" s="185"/>
      <c r="R48" s="89"/>
      <c r="S48" s="134"/>
      <c r="T48" s="93"/>
      <c r="U48" s="89"/>
      <c r="V48" s="89"/>
      <c r="W48" s="89"/>
    </row>
    <row r="49" spans="1:23" ht="18">
      <c r="A49" s="89"/>
      <c r="B49" s="1398" t="s">
        <v>1034</v>
      </c>
      <c r="C49" s="708">
        <v>9</v>
      </c>
      <c r="D49" s="425" t="str">
        <f>"Del dejen i "&amp;F8&amp;" boller og hæv på køl i ca. 48 timer i en lukket beholder. "</f>
        <v xml:space="preserve">Del dejen i 6 boller og hæv på køl i ca. 48 timer i en lukket beholder. </v>
      </c>
      <c r="O49" s="45"/>
      <c r="P49" s="203"/>
      <c r="Q49" s="185"/>
      <c r="R49" s="89"/>
      <c r="S49" s="134"/>
      <c r="T49" s="93"/>
      <c r="U49" s="89"/>
      <c r="V49" s="89"/>
      <c r="W49" s="89"/>
    </row>
    <row r="50" spans="1:23" ht="15.75">
      <c r="A50" s="89"/>
      <c r="B50" s="44"/>
      <c r="D50" s="425"/>
      <c r="O50" s="45"/>
      <c r="P50" s="203"/>
      <c r="Q50" s="185"/>
      <c r="R50" s="89"/>
      <c r="S50" s="134"/>
      <c r="T50" s="93"/>
      <c r="U50" s="89"/>
      <c r="V50" s="89"/>
      <c r="W50" s="89"/>
    </row>
    <row r="51" spans="1:23" ht="15.75">
      <c r="A51" s="89"/>
      <c r="B51" s="44"/>
      <c r="D51" s="425"/>
      <c r="O51" s="45"/>
      <c r="P51" s="203"/>
      <c r="Q51" s="185"/>
      <c r="R51" s="89"/>
      <c r="S51" s="134"/>
      <c r="T51" s="93"/>
      <c r="U51" s="89"/>
      <c r="V51" s="89"/>
      <c r="W51" s="89"/>
    </row>
    <row r="52" spans="1:23" ht="15.75">
      <c r="A52" s="89"/>
      <c r="B52" s="44"/>
      <c r="O52" s="45"/>
      <c r="P52" s="203"/>
      <c r="Q52" s="185"/>
      <c r="R52" s="89"/>
      <c r="S52" s="134"/>
      <c r="T52" s="93"/>
      <c r="U52" s="89"/>
      <c r="V52" s="89"/>
      <c r="W52" s="89"/>
    </row>
    <row r="53" spans="1:23" ht="17.25">
      <c r="A53" s="89"/>
      <c r="B53" s="47"/>
      <c r="C53" s="1491" t="str">
        <f ca="1">S20</f>
        <v>Dag 3</v>
      </c>
      <c r="D53" s="82"/>
      <c r="E53" s="1215"/>
      <c r="F53" s="82"/>
      <c r="G53" s="82"/>
      <c r="H53" s="807"/>
      <c r="I53" s="809"/>
      <c r="J53" s="810"/>
      <c r="K53" s="3"/>
      <c r="L53" s="1785" t="str">
        <f ca="1">TEXT(T20,"dddd")</f>
        <v>fredag</v>
      </c>
      <c r="M53" s="1951">
        <f ca="1">IF($T$8="","",T20)</f>
        <v>45926.645833333328</v>
      </c>
      <c r="N53" s="1951"/>
      <c r="O53" s="45"/>
      <c r="P53" s="203"/>
      <c r="Q53" s="185"/>
      <c r="R53" s="89"/>
      <c r="S53" s="134"/>
      <c r="T53" s="93"/>
      <c r="U53" s="89"/>
      <c r="V53" s="89"/>
      <c r="W53" s="89"/>
    </row>
    <row r="54" spans="1:23" ht="15.75">
      <c r="A54" s="89"/>
      <c r="B54" s="44"/>
      <c r="C54" s="105"/>
      <c r="D54" s="105"/>
      <c r="E54" s="105"/>
      <c r="F54" s="105"/>
      <c r="G54" s="105"/>
      <c r="H54" s="105"/>
      <c r="I54" s="105"/>
      <c r="J54" s="105"/>
      <c r="O54" s="45"/>
      <c r="P54" s="203"/>
      <c r="Q54" s="185"/>
      <c r="R54" s="89"/>
      <c r="S54" s="134"/>
      <c r="T54" s="93"/>
      <c r="U54" s="89"/>
      <c r="V54" s="89"/>
      <c r="W54" s="89"/>
    </row>
    <row r="55" spans="1:23" ht="18">
      <c r="A55" s="89"/>
      <c r="B55" s="1398" t="s">
        <v>1034</v>
      </c>
      <c r="C55" s="708">
        <v>10</v>
      </c>
      <c r="D55" s="105" t="s">
        <v>1232</v>
      </c>
      <c r="E55" s="105"/>
      <c r="F55" s="105"/>
      <c r="G55" s="105"/>
      <c r="H55" s="105"/>
      <c r="I55" s="105"/>
      <c r="J55" s="105"/>
      <c r="N55" s="5"/>
      <c r="O55" s="45"/>
      <c r="P55" s="203"/>
      <c r="Q55" s="185"/>
      <c r="R55" s="89"/>
      <c r="S55" s="134"/>
      <c r="T55" s="93"/>
      <c r="U55" s="89"/>
      <c r="V55" s="89"/>
      <c r="W55" s="89"/>
    </row>
    <row r="56" spans="1:23" ht="15.75">
      <c r="A56" s="89"/>
      <c r="B56" s="44"/>
      <c r="O56" s="45"/>
      <c r="P56" s="203"/>
      <c r="Q56" s="185"/>
      <c r="R56" s="89"/>
      <c r="S56" s="134"/>
      <c r="T56" s="93"/>
      <c r="U56" s="89"/>
      <c r="V56" s="89"/>
      <c r="W56" s="89"/>
    </row>
    <row r="57" spans="1:23" ht="15.75">
      <c r="A57" s="89"/>
      <c r="B57" s="44"/>
      <c r="C57" s="708"/>
      <c r="D57" s="105"/>
      <c r="E57" s="105"/>
      <c r="F57" s="105"/>
      <c r="G57" s="105"/>
      <c r="H57" s="105"/>
      <c r="I57" s="105"/>
      <c r="J57" s="105"/>
      <c r="N57" s="5"/>
      <c r="O57" s="45"/>
      <c r="P57" s="203"/>
      <c r="Q57" s="185"/>
      <c r="R57" s="89"/>
      <c r="S57" s="134"/>
      <c r="T57" s="93"/>
      <c r="U57" s="89"/>
      <c r="V57" s="89"/>
      <c r="W57" s="89"/>
    </row>
    <row r="58" spans="1:23" ht="15.75">
      <c r="A58" s="89"/>
      <c r="B58" s="44"/>
      <c r="C58" s="708"/>
      <c r="D58" s="105"/>
      <c r="E58" s="105"/>
      <c r="F58" s="105"/>
      <c r="G58" s="105"/>
      <c r="H58" s="105"/>
      <c r="I58" s="105"/>
      <c r="J58" s="105"/>
      <c r="N58" s="5"/>
      <c r="O58" s="45"/>
      <c r="P58" s="203"/>
      <c r="Q58" s="185"/>
      <c r="R58" s="89"/>
      <c r="S58" s="134"/>
      <c r="T58" s="93"/>
      <c r="U58" s="89"/>
      <c r="V58" s="89"/>
      <c r="W58" s="89"/>
    </row>
    <row r="59" spans="1:23" ht="17.25">
      <c r="A59" s="89"/>
      <c r="B59" s="44"/>
      <c r="C59" s="1311" t="s">
        <v>1244</v>
      </c>
      <c r="D59" s="1309"/>
      <c r="E59" s="1309"/>
      <c r="F59" s="1309"/>
      <c r="G59" s="1309"/>
      <c r="H59" s="1309"/>
      <c r="I59" s="1309"/>
      <c r="J59" s="1309"/>
      <c r="K59" s="1310"/>
      <c r="L59" s="1310"/>
      <c r="M59" s="1310"/>
      <c r="N59" s="1310"/>
      <c r="O59" s="45"/>
      <c r="P59" s="203"/>
      <c r="Q59" s="185"/>
      <c r="R59" s="89"/>
      <c r="S59" s="134"/>
      <c r="T59" s="93"/>
      <c r="U59" s="89"/>
      <c r="V59" s="89"/>
      <c r="W59" s="89"/>
    </row>
    <row r="60" spans="1:23" ht="15.75">
      <c r="A60" s="89"/>
      <c r="B60" s="44"/>
      <c r="C60" s="708"/>
      <c r="D60" s="105"/>
      <c r="E60" s="105"/>
      <c r="F60" s="105"/>
      <c r="G60" s="105"/>
      <c r="H60" s="105"/>
      <c r="I60" s="105"/>
      <c r="J60" s="105"/>
      <c r="N60" s="5"/>
      <c r="O60" s="45"/>
      <c r="P60" s="203"/>
      <c r="Q60" s="185"/>
      <c r="R60" s="89"/>
      <c r="S60" s="134"/>
      <c r="T60" s="93"/>
      <c r="U60" s="89"/>
      <c r="V60" s="89"/>
      <c r="W60" s="89"/>
    </row>
    <row r="61" spans="1:23" ht="15.75">
      <c r="A61" s="89"/>
      <c r="B61" s="44"/>
      <c r="C61" s="1236">
        <v>1</v>
      </c>
      <c r="D61" s="1237" t="str">
        <f>IF(C61&gt;1,"portioner","portion ")&amp;" (ca. "&amp;C61*400&amp;" ml.)"</f>
        <v>portion  (ca. 400 ml.)</v>
      </c>
      <c r="E61" s="467"/>
      <c r="F61" s="467"/>
      <c r="G61" s="467"/>
      <c r="H61" s="467"/>
      <c r="I61" s="467"/>
      <c r="J61" s="467"/>
      <c r="K61" s="82"/>
      <c r="L61" s="82"/>
      <c r="M61" s="82"/>
      <c r="N61" s="3"/>
      <c r="O61" s="45"/>
      <c r="P61" s="203"/>
      <c r="Q61" s="185"/>
      <c r="R61" s="89"/>
      <c r="S61" s="134"/>
      <c r="T61" s="93"/>
      <c r="U61" s="89"/>
      <c r="V61" s="89"/>
      <c r="W61" s="89"/>
    </row>
    <row r="62" spans="1:23" ht="15.75">
      <c r="A62" s="89"/>
      <c r="B62" s="44"/>
      <c r="C62" s="708"/>
      <c r="D62" s="105"/>
      <c r="E62" s="105"/>
      <c r="F62" s="105"/>
      <c r="G62" s="105"/>
      <c r="H62" s="105"/>
      <c r="I62" s="105"/>
      <c r="J62" s="105"/>
      <c r="N62" s="5"/>
      <c r="O62" s="45"/>
      <c r="P62" s="203"/>
      <c r="Q62" s="185"/>
      <c r="R62" s="89"/>
      <c r="S62" s="134"/>
      <c r="T62" s="93"/>
      <c r="U62" s="89"/>
      <c r="V62" s="89"/>
      <c r="W62" s="89"/>
    </row>
    <row r="63" spans="1:23" ht="15.75">
      <c r="A63" s="89"/>
      <c r="B63" s="44"/>
      <c r="C63" s="1721">
        <f>1*C61</f>
        <v>1</v>
      </c>
      <c r="D63" s="105" t="str">
        <f>IF(C61&gt;1,"dåser hakkede tomater (f.eks. San Marzano D.O.P.).","dåse hakkede tomater (f.eks. San Marzano D.O.P.).")</f>
        <v>dåse hakkede tomater (f.eks. San Marzano D.O.P.).</v>
      </c>
      <c r="F63" s="105"/>
      <c r="G63" s="105"/>
      <c r="H63" s="105"/>
      <c r="I63" s="105"/>
      <c r="J63" s="105"/>
      <c r="N63" s="5"/>
      <c r="O63" s="45"/>
      <c r="P63" s="203"/>
      <c r="Q63" s="185"/>
      <c r="R63" s="89"/>
      <c r="S63" s="134"/>
      <c r="T63" s="93"/>
      <c r="U63" s="89"/>
      <c r="V63" s="89"/>
      <c r="W63" s="89"/>
    </row>
    <row r="64" spans="1:23" ht="15.75">
      <c r="A64" s="89"/>
      <c r="B64" s="44"/>
      <c r="C64" s="1722">
        <f>ROUND(0.3*C61,1)</f>
        <v>0.3</v>
      </c>
      <c r="D64" s="105" t="s">
        <v>963</v>
      </c>
      <c r="F64" s="105"/>
      <c r="G64" s="1787" t="str">
        <f>"("&amp;0.5*C61&amp;" fed)"</f>
        <v>(0,5 fed)</v>
      </c>
      <c r="H64" s="1438"/>
      <c r="I64" s="1387"/>
      <c r="J64" s="105"/>
      <c r="N64" s="5"/>
      <c r="O64" s="45"/>
      <c r="P64" s="203"/>
      <c r="Q64" s="185"/>
      <c r="R64" s="89"/>
      <c r="S64" s="134"/>
      <c r="T64" s="93"/>
      <c r="U64" s="89"/>
      <c r="V64" s="89"/>
      <c r="W64" s="89"/>
    </row>
    <row r="65" spans="1:23" ht="15.75">
      <c r="A65" s="89"/>
      <c r="B65" s="44"/>
      <c r="C65" s="1722">
        <f>ROUND(1.5*C61,1)</f>
        <v>1.5</v>
      </c>
      <c r="D65" s="105" t="s">
        <v>1237</v>
      </c>
      <c r="F65" s="105"/>
      <c r="G65" s="1787" t="str">
        <f>"("&amp;0.5*C61&amp;" teske)"</f>
        <v>(0,5 teske)</v>
      </c>
      <c r="H65" s="1438"/>
      <c r="I65" s="1387"/>
      <c r="J65" s="105"/>
      <c r="N65" s="5"/>
      <c r="O65" s="45"/>
      <c r="P65" s="203"/>
      <c r="Q65" s="185"/>
      <c r="R65" s="89"/>
      <c r="S65" s="134"/>
      <c r="T65" s="93"/>
      <c r="U65" s="89"/>
      <c r="V65" s="89"/>
      <c r="W65" s="89"/>
    </row>
    <row r="66" spans="1:23" ht="15.75">
      <c r="A66" s="89"/>
      <c r="B66" s="44"/>
      <c r="C66" s="1722">
        <f>0.5*C61</f>
        <v>0.5</v>
      </c>
      <c r="D66" s="105" t="s">
        <v>962</v>
      </c>
      <c r="F66" s="105"/>
      <c r="G66" s="1787" t="str">
        <f>"("&amp;1*C61&amp;" teske)"</f>
        <v>(1 teske)</v>
      </c>
      <c r="H66" s="1438"/>
      <c r="I66" s="1387"/>
      <c r="J66" s="105"/>
      <c r="N66" s="5"/>
      <c r="O66" s="45"/>
      <c r="P66" s="203"/>
      <c r="Q66" s="185"/>
      <c r="R66" s="89"/>
      <c r="S66" s="134"/>
      <c r="T66" s="93"/>
      <c r="U66" s="89"/>
      <c r="V66" s="89"/>
      <c r="W66" s="89"/>
    </row>
    <row r="67" spans="1:23" ht="15.75">
      <c r="A67" s="89"/>
      <c r="B67" s="44"/>
      <c r="C67" s="1722">
        <f>0.5*C61</f>
        <v>0.5</v>
      </c>
      <c r="D67" s="105" t="s">
        <v>954</v>
      </c>
      <c r="G67" s="1787" t="str">
        <f>"("&amp;0.5*C61&amp;" teske)"</f>
        <v>(0,5 teske)</v>
      </c>
      <c r="H67" s="1438"/>
      <c r="I67" s="1387"/>
      <c r="N67" s="5"/>
      <c r="O67" s="45"/>
      <c r="P67" s="203"/>
      <c r="Q67" s="185"/>
      <c r="R67" s="89"/>
      <c r="S67" s="134"/>
      <c r="T67" s="93"/>
      <c r="U67" s="89"/>
      <c r="V67" s="89"/>
      <c r="W67" s="89"/>
    </row>
    <row r="68" spans="1:23" ht="15.75">
      <c r="A68" s="89"/>
      <c r="B68" s="44"/>
      <c r="C68" s="1518">
        <f>2*C61</f>
        <v>2</v>
      </c>
      <c r="D68" s="105" t="s">
        <v>919</v>
      </c>
      <c r="F68" s="105"/>
      <c r="G68" s="1787" t="str">
        <f>"("&amp;0.5*C61&amp;" teske)"</f>
        <v>(0,5 teske)</v>
      </c>
      <c r="H68" s="1438"/>
      <c r="I68" s="1387"/>
      <c r="N68" s="5"/>
      <c r="O68" s="45"/>
      <c r="P68" s="203"/>
      <c r="Q68" s="185"/>
      <c r="R68" s="89"/>
      <c r="S68" s="134"/>
      <c r="T68" s="93"/>
      <c r="U68" s="89"/>
      <c r="V68" s="89"/>
      <c r="W68" s="89"/>
    </row>
    <row r="69" spans="1:23" ht="15.75">
      <c r="A69" s="89"/>
      <c r="B69" s="44"/>
      <c r="C69" s="1518">
        <f>5*C61</f>
        <v>5</v>
      </c>
      <c r="D69" s="105" t="s">
        <v>524</v>
      </c>
      <c r="F69" s="105"/>
      <c r="G69" s="1787" t="str">
        <f>"("&amp;1*C61&amp;" teske)"</f>
        <v>(1 teske)</v>
      </c>
      <c r="H69" s="1438"/>
      <c r="I69" s="1387"/>
      <c r="J69" s="105"/>
      <c r="N69" s="5"/>
      <c r="O69" s="45"/>
      <c r="P69" s="203"/>
      <c r="Q69" s="185"/>
      <c r="R69" s="89"/>
      <c r="S69" s="89"/>
      <c r="T69" s="89"/>
      <c r="U69" s="89"/>
      <c r="V69" s="89"/>
      <c r="W69" s="89"/>
    </row>
    <row r="70" spans="1:23" ht="15.75">
      <c r="A70" s="89"/>
      <c r="B70" s="44"/>
      <c r="C70" s="193" t="s">
        <v>965</v>
      </c>
      <c r="D70" s="105" t="str">
        <f>"salt efter behov (ca. "&amp;1.5*C61&amp;" g.)"</f>
        <v>salt efter behov (ca. 1,5 g.)</v>
      </c>
      <c r="F70" s="105"/>
      <c r="G70" s="1787" t="s">
        <v>1279</v>
      </c>
      <c r="H70" s="1787"/>
      <c r="I70" s="1387"/>
      <c r="J70" s="105"/>
      <c r="N70" s="5"/>
      <c r="O70" s="45"/>
      <c r="P70" s="203"/>
      <c r="Q70" s="185"/>
      <c r="R70" s="89"/>
      <c r="S70" s="89"/>
      <c r="T70" s="89"/>
      <c r="U70" s="89"/>
      <c r="V70" s="89"/>
      <c r="W70" s="89"/>
    </row>
    <row r="71" spans="1:23" ht="15.75">
      <c r="A71" s="89"/>
      <c r="B71" s="44"/>
      <c r="C71" s="708"/>
      <c r="D71" s="105"/>
      <c r="E71" s="105"/>
      <c r="F71" s="105"/>
      <c r="G71" s="105"/>
      <c r="H71" s="105"/>
      <c r="I71" s="105"/>
      <c r="J71" s="105"/>
      <c r="N71" s="5"/>
      <c r="O71" s="45"/>
      <c r="P71" s="203"/>
      <c r="Q71" s="185"/>
      <c r="R71" s="89"/>
      <c r="S71" s="89"/>
      <c r="T71" s="89"/>
      <c r="U71" s="89"/>
      <c r="V71" s="89"/>
      <c r="W71" s="89"/>
    </row>
    <row r="72" spans="1:23" ht="14.25" customHeight="1">
      <c r="A72" s="89"/>
      <c r="B72" s="1705" t="s">
        <v>3</v>
      </c>
      <c r="C72" s="1723" t="s">
        <v>1238</v>
      </c>
      <c r="D72" s="105"/>
      <c r="E72" s="105"/>
      <c r="F72" s="105"/>
      <c r="G72" s="105"/>
      <c r="H72" s="105"/>
      <c r="I72" s="105"/>
      <c r="J72" s="105"/>
      <c r="N72" s="5"/>
      <c r="O72" s="45"/>
      <c r="P72" s="203"/>
      <c r="Q72" s="185"/>
      <c r="R72" s="89"/>
      <c r="S72" s="89"/>
      <c r="T72" s="89"/>
      <c r="U72" s="89"/>
      <c r="V72" s="89"/>
      <c r="W72" s="89"/>
    </row>
    <row r="73" spans="1:23" ht="15.75">
      <c r="A73" s="89"/>
      <c r="B73" s="1705" t="s">
        <v>3</v>
      </c>
      <c r="C73" s="1723" t="s">
        <v>1239</v>
      </c>
      <c r="D73" s="105"/>
      <c r="E73" s="105"/>
      <c r="F73" s="105"/>
      <c r="G73" s="105"/>
      <c r="H73" s="105"/>
      <c r="I73" s="105"/>
      <c r="J73" s="105"/>
      <c r="N73" s="5"/>
      <c r="O73" s="45"/>
      <c r="P73" s="203"/>
      <c r="Q73" s="185"/>
      <c r="R73" s="89"/>
      <c r="S73" s="89"/>
      <c r="T73" s="89"/>
      <c r="U73" s="89"/>
      <c r="V73" s="89"/>
      <c r="W73" s="89"/>
    </row>
    <row r="74" spans="1:23" ht="15.75">
      <c r="A74" s="89"/>
      <c r="B74" s="1705" t="s">
        <v>3</v>
      </c>
      <c r="C74" s="1723" t="s">
        <v>960</v>
      </c>
      <c r="D74" s="105"/>
      <c r="E74" s="105"/>
      <c r="F74" s="105"/>
      <c r="G74" s="105"/>
      <c r="H74" s="105"/>
      <c r="I74" s="105"/>
      <c r="J74" s="105"/>
      <c r="O74" s="45"/>
      <c r="P74" s="203"/>
      <c r="Q74" s="185"/>
      <c r="R74" s="89"/>
      <c r="S74" s="89"/>
      <c r="T74" s="89"/>
      <c r="U74" s="89"/>
      <c r="V74" s="89"/>
      <c r="W74" s="89"/>
    </row>
    <row r="75" spans="1:23" ht="15.75">
      <c r="A75" s="89"/>
      <c r="B75" s="44"/>
      <c r="C75" s="1487"/>
      <c r="D75" s="1488"/>
      <c r="E75" s="5"/>
      <c r="F75" s="5"/>
      <c r="G75" s="5"/>
      <c r="H75" s="5"/>
      <c r="I75" s="5"/>
      <c r="J75" s="5"/>
      <c r="K75" s="5"/>
      <c r="M75" s="769"/>
      <c r="N75" s="1489"/>
      <c r="O75" s="1490"/>
      <c r="P75" s="203"/>
      <c r="Q75" s="185"/>
      <c r="R75" s="89"/>
      <c r="S75" s="89"/>
      <c r="T75" s="89"/>
      <c r="U75" s="89"/>
      <c r="V75" s="89"/>
      <c r="W75" s="89"/>
    </row>
    <row r="76" spans="1:23" ht="15.75">
      <c r="A76" s="89"/>
      <c r="B76" s="47"/>
      <c r="C76" s="1451"/>
      <c r="D76" s="1452"/>
      <c r="E76" s="3"/>
      <c r="F76" s="3"/>
      <c r="G76" s="3"/>
      <c r="H76" s="3"/>
      <c r="I76" s="3"/>
      <c r="J76" s="3"/>
      <c r="K76" s="3"/>
      <c r="L76" s="82"/>
      <c r="M76" s="760"/>
      <c r="N76" s="1453" t="s">
        <v>523</v>
      </c>
      <c r="O76" s="761"/>
      <c r="P76" s="203"/>
      <c r="Q76" s="185"/>
      <c r="R76" s="89"/>
      <c r="S76" s="89"/>
      <c r="T76" s="89"/>
      <c r="U76" s="89"/>
      <c r="V76" s="89"/>
      <c r="W76" s="89"/>
    </row>
    <row r="77" spans="1:23" ht="15">
      <c r="A77" s="89"/>
      <c r="B77" s="89"/>
      <c r="C77" s="89"/>
      <c r="D77" s="89"/>
      <c r="E77" s="89"/>
      <c r="F77" s="89"/>
      <c r="G77" s="89"/>
      <c r="H77" s="89"/>
      <c r="I77" s="89"/>
      <c r="J77" s="89"/>
      <c r="K77" s="89"/>
      <c r="L77" s="89"/>
      <c r="M77" s="89"/>
      <c r="N77" s="89"/>
      <c r="O77" s="89"/>
      <c r="P77" s="89"/>
      <c r="Q77" s="89"/>
      <c r="R77" s="89"/>
      <c r="S77" s="89"/>
      <c r="T77" s="89"/>
      <c r="U77" s="89"/>
      <c r="V77" s="89"/>
      <c r="W77" s="89"/>
    </row>
  </sheetData>
  <sheetProtection algorithmName="SHA-512" hashValue="jR1nmu7gnutQBNXALlbsHgnROTBjj1Vpb73tysRwScysLTH0NKKBnYjcUllZsC+zQhpaLJFsfX08oH0KolSKbA==" saltValue="WEQkNTxuvliGi30OklocBg==" spinCount="100000" sheet="1" objects="1" scenarios="1" selectLockedCells="1"/>
  <mergeCells count="17">
    <mergeCell ref="C2:M3"/>
    <mergeCell ref="C4:E4"/>
    <mergeCell ref="L5:P7"/>
    <mergeCell ref="R5:W6"/>
    <mergeCell ref="I7:K8"/>
    <mergeCell ref="U7:W7"/>
    <mergeCell ref="U8:W8"/>
    <mergeCell ref="T20:V20"/>
    <mergeCell ref="M35:N35"/>
    <mergeCell ref="M31:N31"/>
    <mergeCell ref="M53:N53"/>
    <mergeCell ref="J11:K11"/>
    <mergeCell ref="V11:W11"/>
    <mergeCell ref="C15:K17"/>
    <mergeCell ref="L18:N18"/>
    <mergeCell ref="L19:N19"/>
    <mergeCell ref="T19:V19"/>
  </mergeCells>
  <dataValidations count="4">
    <dataValidation type="list" allowBlank="1" showInputMessage="1" showErrorMessage="1" sqref="C61" xr:uid="{96DEF3A4-60BB-4014-BF4D-F5E9DB87652A}">
      <formula1>"1,2,3,4,5,6,7,8,9,10"</formula1>
    </dataValidation>
    <dataValidation type="list" allowBlank="1" showInputMessage="1" showErrorMessage="1" sqref="J11:K11" xr:uid="{683FCAB7-2B9C-4E15-8F8E-50CD142EE1C2}">
      <formula1>$AB$8:$AB$10</formula1>
    </dataValidation>
    <dataValidation type="list" allowBlank="1" sqref="T8" xr:uid="{DFF4B7B3-F832-4CDA-B249-7B4EFB2D6E29}">
      <formula1>"11:30,12:00,12:30,13:00,17:00,17:30,18:00,18:30,19:00,19:30"</formula1>
    </dataValidation>
    <dataValidation type="list" allowBlank="1" showErrorMessage="1" sqref="T7" xr:uid="{7B87343A-F2B2-4AD7-8F04-6070476DC182}">
      <formula1>"Mandag,Tirsdag,Onsdag,Torsdag,Fredag,Lørdag,Søndag"</formula1>
    </dataValidation>
  </dataValidations>
  <hyperlinks>
    <hyperlink ref="C4" r:id="rId1" display="  Credit Perfect Pizza at Home" xr:uid="{39B5DE40-4724-48BF-965A-3193A9A20B1E}"/>
    <hyperlink ref="C4:E4" r:id="rId2" display="Reciepe cortesy of PizzaPal.dk" xr:uid="{4584A65F-BE11-4F5E-A24D-B4F4B276841C}"/>
  </hyperlinks>
  <printOptions horizontalCentered="1"/>
  <pageMargins left="0.19685039370078741" right="0.19685039370078741" top="0.39370078740157483" bottom="0.74803149606299213" header="0.31496062992125984" footer="0.31496062992125984"/>
  <pageSetup paperSize="8" orientation="portrait"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AC4BF-87AC-4258-9233-41208CC3DE57}">
  <sheetPr codeName="Ark13">
    <tabColor theme="0"/>
    <pageSetUpPr fitToPage="1"/>
  </sheetPr>
  <dimension ref="A1:AD52"/>
  <sheetViews>
    <sheetView showGridLines="0" showRowColHeaders="0" zoomScaleNormal="100" workbookViewId="0">
      <pane ySplit="4" topLeftCell="A5" activePane="bottomLeft" state="frozen"/>
      <selection activeCell="H8" sqref="H8"/>
      <selection pane="bottomLeft" activeCell="H7" sqref="H7"/>
    </sheetView>
  </sheetViews>
  <sheetFormatPr defaultColWidth="0" defaultRowHeight="15" customHeight="1" zeroHeight="1"/>
  <cols>
    <col min="1" max="1" width="3.5703125" customWidth="1"/>
    <col min="2" max="3" width="7.140625" customWidth="1"/>
    <col min="4" max="4" width="15.7109375" customWidth="1"/>
    <col min="5" max="5" width="5.5703125" customWidth="1"/>
    <col min="6" max="6" width="6.85546875" customWidth="1"/>
    <col min="7" max="7" width="6" customWidth="1"/>
    <col min="8" max="8" width="8.5703125" customWidth="1"/>
    <col min="9" max="9" width="9.5703125" customWidth="1"/>
    <col min="10" max="10" width="7.5703125" customWidth="1"/>
    <col min="11" max="11" width="6.85546875" customWidth="1"/>
    <col min="12" max="12" width="6.28515625" customWidth="1"/>
    <col min="13" max="13" width="11.28515625" customWidth="1"/>
    <col min="14" max="14" width="11.7109375" customWidth="1"/>
    <col min="15" max="16" width="3.140625" customWidth="1"/>
    <col min="17" max="17" width="3.140625" hidden="1" customWidth="1"/>
    <col min="18" max="18" width="3.5703125" hidden="1" customWidth="1"/>
    <col min="19" max="19" width="8" hidden="1" customWidth="1"/>
    <col min="20" max="20" width="19.85546875" hidden="1" customWidth="1"/>
    <col min="21" max="21" width="8.140625" hidden="1" customWidth="1"/>
    <col min="22" max="22" width="4.42578125" hidden="1" customWidth="1"/>
    <col min="23" max="23" width="4.28515625" hidden="1" customWidth="1"/>
    <col min="24" max="24" width="8.7109375" hidden="1" customWidth="1"/>
    <col min="25" max="25" width="11.28515625" hidden="1" customWidth="1"/>
    <col min="26" max="26" width="9.42578125" hidden="1" customWidth="1"/>
    <col min="27" max="16384" width="8.7109375" hidden="1"/>
  </cols>
  <sheetData>
    <row r="1" spans="1:30" ht="15" customHeight="1">
      <c r="A1" s="660"/>
      <c r="B1" s="660"/>
      <c r="C1" s="661"/>
      <c r="D1" s="661"/>
      <c r="E1" s="661"/>
      <c r="F1" s="661"/>
      <c r="G1" s="661"/>
      <c r="H1" s="661"/>
      <c r="I1" s="661"/>
      <c r="J1" s="660"/>
      <c r="K1" s="660"/>
      <c r="L1" s="660"/>
      <c r="M1" s="660"/>
      <c r="N1" s="660"/>
      <c r="O1" s="660"/>
      <c r="P1" s="660"/>
      <c r="Q1" s="660"/>
      <c r="R1" s="660"/>
      <c r="S1" s="660"/>
      <c r="T1" s="658"/>
      <c r="U1" s="658"/>
      <c r="V1" s="658"/>
      <c r="W1" s="658"/>
    </row>
    <row r="2" spans="1:30" ht="15" customHeight="1">
      <c r="A2" s="660"/>
      <c r="B2" s="660"/>
      <c r="C2" s="1982" t="s">
        <v>1052</v>
      </c>
      <c r="D2" s="1982"/>
      <c r="E2" s="1982"/>
      <c r="F2" s="1982"/>
      <c r="G2" s="1982"/>
      <c r="H2" s="1982"/>
      <c r="I2" s="1982"/>
      <c r="J2" s="1982"/>
      <c r="K2" s="660"/>
      <c r="L2" s="660"/>
      <c r="M2" s="660"/>
      <c r="N2" s="660"/>
      <c r="O2" s="660"/>
      <c r="P2" s="660"/>
      <c r="Q2" s="660"/>
      <c r="R2" s="660"/>
      <c r="S2" s="662"/>
      <c r="T2" s="658"/>
      <c r="U2" s="658"/>
      <c r="V2" s="658"/>
      <c r="W2" s="658"/>
    </row>
    <row r="3" spans="1:30" ht="15" customHeight="1">
      <c r="A3" s="660"/>
      <c r="B3" s="660"/>
      <c r="C3" s="1982"/>
      <c r="D3" s="1982"/>
      <c r="E3" s="1982"/>
      <c r="F3" s="1982"/>
      <c r="G3" s="1982"/>
      <c r="H3" s="1982"/>
      <c r="I3" s="1982"/>
      <c r="J3" s="1982"/>
      <c r="K3" s="660"/>
      <c r="L3" s="660"/>
      <c r="M3" s="660"/>
      <c r="N3" s="660"/>
      <c r="O3" s="660"/>
      <c r="P3" s="660"/>
      <c r="Q3" s="660"/>
      <c r="R3" s="660"/>
      <c r="S3" s="660"/>
      <c r="T3" s="658"/>
      <c r="U3" s="658"/>
      <c r="V3" s="658"/>
      <c r="W3" s="658"/>
    </row>
    <row r="4" spans="1:30" ht="15" customHeight="1" thickBot="1">
      <c r="A4" s="663"/>
      <c r="B4" s="663"/>
      <c r="C4" s="664" t="s">
        <v>381</v>
      </c>
      <c r="D4" s="665"/>
      <c r="E4" s="665"/>
      <c r="F4" s="665"/>
      <c r="G4" s="665"/>
      <c r="H4" s="665"/>
      <c r="I4" s="665"/>
      <c r="J4" s="663"/>
      <c r="K4" s="663"/>
      <c r="L4" s="663"/>
      <c r="M4" s="663"/>
      <c r="N4" s="663"/>
      <c r="O4" s="663"/>
      <c r="P4" s="663"/>
      <c r="Q4" s="660"/>
      <c r="R4" s="660"/>
      <c r="S4" s="660"/>
      <c r="T4" s="658"/>
      <c r="U4" s="658"/>
      <c r="V4" s="658"/>
      <c r="W4" s="658"/>
    </row>
    <row r="5" spans="1:30" ht="17.25" thickTop="1" thickBot="1">
      <c r="A5" s="620"/>
      <c r="B5" s="620"/>
      <c r="C5" s="620"/>
      <c r="D5" s="620"/>
      <c r="E5" s="620"/>
      <c r="F5" s="620"/>
      <c r="G5" s="620"/>
      <c r="H5" s="620"/>
      <c r="I5" s="620"/>
      <c r="J5" s="620"/>
      <c r="K5" s="869"/>
      <c r="L5" s="869"/>
      <c r="M5" s="869"/>
      <c r="N5" s="620"/>
      <c r="O5" s="620"/>
      <c r="P5" s="614"/>
      <c r="Q5" s="5"/>
      <c r="R5" s="5"/>
      <c r="S5" s="5"/>
      <c r="T5" s="5"/>
      <c r="U5" s="5"/>
      <c r="V5" s="5"/>
      <c r="W5" s="5"/>
    </row>
    <row r="6" spans="1:30" s="105" customFormat="1" ht="17.25" thickTop="1" thickBot="1">
      <c r="A6" s="620"/>
      <c r="B6" s="1983" t="s">
        <v>344</v>
      </c>
      <c r="C6" s="1984"/>
      <c r="D6" s="1985"/>
      <c r="E6" s="621"/>
      <c r="F6" s="614"/>
      <c r="G6" s="614"/>
      <c r="H6" s="614"/>
      <c r="I6" s="867"/>
      <c r="J6" s="614"/>
      <c r="K6" s="1986" t="s">
        <v>745</v>
      </c>
      <c r="L6" s="1986"/>
      <c r="M6" s="1986"/>
      <c r="N6" s="1986"/>
      <c r="O6" s="620"/>
      <c r="P6" s="614"/>
      <c r="Q6" s="425"/>
      <c r="R6" s="425"/>
      <c r="S6" s="1250"/>
      <c r="T6" s="425"/>
      <c r="U6" s="1251"/>
      <c r="V6" s="425"/>
      <c r="W6" s="425"/>
      <c r="Y6" s="280" t="s">
        <v>418</v>
      </c>
      <c r="Z6" s="281"/>
      <c r="AB6" s="43" t="s">
        <v>299</v>
      </c>
      <c r="AC6" s="53" t="s">
        <v>809</v>
      </c>
      <c r="AD6" s="911" t="s">
        <v>756</v>
      </c>
    </row>
    <row r="7" spans="1:30" s="105" customFormat="1" ht="17.25" thickTop="1" thickBot="1">
      <c r="A7" s="620"/>
      <c r="B7" s="636">
        <v>1</v>
      </c>
      <c r="C7" s="621" t="s">
        <v>374</v>
      </c>
      <c r="D7" s="691"/>
      <c r="E7" s="633"/>
      <c r="F7" s="634" t="s">
        <v>372</v>
      </c>
      <c r="G7" s="620"/>
      <c r="H7" s="685">
        <v>6</v>
      </c>
      <c r="I7" s="866" t="s">
        <v>379</v>
      </c>
      <c r="J7" s="614"/>
      <c r="K7" s="1986"/>
      <c r="L7" s="1986"/>
      <c r="M7" s="1986"/>
      <c r="N7" s="1986"/>
      <c r="O7" s="620"/>
      <c r="P7" s="614"/>
      <c r="Q7" s="425"/>
      <c r="R7" s="425"/>
      <c r="S7" s="425"/>
      <c r="T7" s="425"/>
      <c r="U7" s="1252"/>
      <c r="V7" s="1253"/>
      <c r="W7" s="425"/>
      <c r="Y7" s="287">
        <v>1</v>
      </c>
      <c r="Z7" s="288" t="s">
        <v>420</v>
      </c>
      <c r="AB7" s="44" t="s">
        <v>376</v>
      </c>
      <c r="AC7" s="45" t="s">
        <v>376</v>
      </c>
      <c r="AD7" s="912">
        <v>1</v>
      </c>
    </row>
    <row r="8" spans="1:30" s="105" customFormat="1" ht="17.25" thickTop="1" thickBot="1">
      <c r="A8" s="620"/>
      <c r="B8" s="636">
        <v>0.6</v>
      </c>
      <c r="C8" s="621" t="s">
        <v>1026</v>
      </c>
      <c r="D8" s="691"/>
      <c r="E8" s="621"/>
      <c r="F8" s="634" t="s">
        <v>373</v>
      </c>
      <c r="G8" s="614"/>
      <c r="H8" s="686">
        <v>270</v>
      </c>
      <c r="I8" s="866" t="s">
        <v>380</v>
      </c>
      <c r="J8" s="614"/>
      <c r="K8" s="1103"/>
      <c r="L8" s="619" t="str">
        <f>C8</f>
        <v>hydrering</v>
      </c>
      <c r="M8" s="635"/>
      <c r="N8" s="614"/>
      <c r="O8" s="620"/>
      <c r="P8" s="614"/>
      <c r="Q8" s="425"/>
      <c r="R8" s="425"/>
      <c r="S8" s="425"/>
      <c r="T8" s="425"/>
      <c r="U8" s="1252"/>
      <c r="V8" s="1253"/>
      <c r="W8" s="425"/>
      <c r="Y8" s="284">
        <f>IF(K8="",B8,K8)</f>
        <v>0.6</v>
      </c>
      <c r="Z8" s="285" t="s">
        <v>419</v>
      </c>
      <c r="AB8" s="44" t="s">
        <v>807</v>
      </c>
      <c r="AC8" s="45" t="s">
        <v>385</v>
      </c>
      <c r="AD8" s="913">
        <v>4</v>
      </c>
    </row>
    <row r="9" spans="1:30" s="105" customFormat="1" ht="16.5" thickTop="1">
      <c r="A9" s="620"/>
      <c r="B9" s="638">
        <v>2.9629629629629631E-2</v>
      </c>
      <c r="C9" s="621" t="s">
        <v>375</v>
      </c>
      <c r="D9" s="691"/>
      <c r="E9" s="621"/>
      <c r="F9" s="614"/>
      <c r="G9" s="622"/>
      <c r="H9" s="614"/>
      <c r="I9" s="1987" t="s">
        <v>380</v>
      </c>
      <c r="J9" s="614"/>
      <c r="K9" s="1104"/>
      <c r="L9" s="619" t="str">
        <f>C9</f>
        <v>salt</v>
      </c>
      <c r="M9" s="635"/>
      <c r="N9" s="614"/>
      <c r="O9" s="620"/>
      <c r="P9" s="614"/>
      <c r="Q9" s="425"/>
      <c r="R9" s="425"/>
      <c r="S9" s="425"/>
      <c r="T9" s="425"/>
      <c r="U9" s="1254"/>
      <c r="V9" s="1253"/>
      <c r="W9" s="425"/>
      <c r="Y9" s="284">
        <f>IF(K9="",B9,K9)</f>
        <v>2.9629629629629631E-2</v>
      </c>
      <c r="Z9" s="328" t="s">
        <v>375</v>
      </c>
      <c r="AB9" s="44" t="s">
        <v>806</v>
      </c>
      <c r="AC9" s="45" t="s">
        <v>385</v>
      </c>
      <c r="AD9" s="913">
        <v>3</v>
      </c>
    </row>
    <row r="10" spans="1:30" s="105" customFormat="1" ht="16.5" thickBot="1">
      <c r="A10" s="620"/>
      <c r="B10" s="639">
        <v>4.4444444444444441E-4</v>
      </c>
      <c r="C10" s="640" t="s">
        <v>376</v>
      </c>
      <c r="D10" s="694"/>
      <c r="E10" s="625"/>
      <c r="F10" s="626" t="s">
        <v>382</v>
      </c>
      <c r="G10" s="622"/>
      <c r="H10" s="627">
        <f>H7*H8</f>
        <v>1620</v>
      </c>
      <c r="I10" s="1987"/>
      <c r="J10" s="614"/>
      <c r="K10" s="1105"/>
      <c r="L10" s="1988" t="s">
        <v>376</v>
      </c>
      <c r="M10" s="1952"/>
      <c r="N10" s="1758">
        <f>IF(L10&lt;&gt;"frisk gær",Y10,IF(K10="",B10,""))</f>
        <v>4.4444444444444441E-4</v>
      </c>
      <c r="O10" s="620"/>
      <c r="P10" s="614"/>
      <c r="Q10" s="425"/>
      <c r="R10" s="425"/>
      <c r="S10" s="425"/>
      <c r="T10" s="425"/>
      <c r="U10" s="1255"/>
      <c r="V10" s="1253"/>
      <c r="W10" s="425"/>
      <c r="Y10" s="284">
        <f>IF(L10="frisk gær",IF(K10="",B10,K10),IF(K10="",B10,K10)/AD11)</f>
        <v>4.4444444444444441E-4</v>
      </c>
      <c r="Z10" s="328" t="str">
        <f>AC11</f>
        <v>frisk gær</v>
      </c>
      <c r="AB10" s="44" t="s">
        <v>805</v>
      </c>
      <c r="AC10" s="45" t="s">
        <v>808</v>
      </c>
      <c r="AD10" s="914">
        <v>3</v>
      </c>
    </row>
    <row r="11" spans="1:30" s="105" customFormat="1" ht="15.75">
      <c r="A11" s="620"/>
      <c r="B11" s="629"/>
      <c r="C11" s="621"/>
      <c r="D11" s="614"/>
      <c r="E11" s="625"/>
      <c r="F11" s="614"/>
      <c r="G11" s="614"/>
      <c r="H11" s="614"/>
      <c r="I11" s="626"/>
      <c r="J11" s="622"/>
      <c r="K11" s="623"/>
      <c r="L11" s="620"/>
      <c r="M11" s="628"/>
      <c r="N11" s="623"/>
      <c r="O11" s="620"/>
      <c r="P11" s="614"/>
      <c r="Q11" s="425"/>
      <c r="R11" s="425"/>
      <c r="S11" s="1256"/>
      <c r="T11" s="1257"/>
      <c r="U11" s="1257"/>
      <c r="V11" s="1253"/>
      <c r="W11" s="425"/>
      <c r="Y11" s="327"/>
      <c r="Z11" s="328"/>
      <c r="AB11" s="909" t="s">
        <v>764</v>
      </c>
      <c r="AC11" s="910" t="str">
        <f>VLOOKUP(L10,AB7:AC10,2,FALSE)</f>
        <v>frisk gær</v>
      </c>
      <c r="AD11" s="921">
        <f>VLOOKUP(L10,AB7:AD10,3,FALSE)</f>
        <v>1</v>
      </c>
    </row>
    <row r="12" spans="1:30" s="105" customFormat="1" ht="16.5" thickBot="1">
      <c r="A12" s="620"/>
      <c r="B12" s="620"/>
      <c r="C12" s="620"/>
      <c r="D12" s="620"/>
      <c r="E12" s="620"/>
      <c r="F12" s="630"/>
      <c r="G12" s="620"/>
      <c r="H12" s="620"/>
      <c r="I12" s="620"/>
      <c r="J12" s="614"/>
      <c r="K12" s="614"/>
      <c r="L12" s="614"/>
      <c r="M12" s="631"/>
      <c r="N12" s="632"/>
      <c r="O12" s="620"/>
      <c r="P12" s="614"/>
      <c r="Q12" s="425"/>
      <c r="R12" s="425"/>
      <c r="S12" s="425"/>
      <c r="T12" s="425"/>
      <c r="U12" s="425"/>
      <c r="V12" s="425"/>
      <c r="W12" s="425"/>
    </row>
    <row r="13" spans="1:30" s="105" customFormat="1" ht="15.75">
      <c r="A13" s="614"/>
      <c r="B13" s="1353"/>
      <c r="C13" s="1954" t="str">
        <f>C2</f>
        <v>Bagerkokkens håndæltede</v>
      </c>
      <c r="D13" s="1954"/>
      <c r="E13" s="1954"/>
      <c r="F13" s="1954"/>
      <c r="G13" s="1954"/>
      <c r="H13" s="1954"/>
      <c r="I13" s="1354"/>
      <c r="J13" s="1355"/>
      <c r="K13" s="1356"/>
      <c r="L13" s="1356"/>
      <c r="M13" s="1355"/>
      <c r="N13" s="1355"/>
      <c r="O13" s="1357"/>
      <c r="P13" s="614"/>
      <c r="Q13" s="425"/>
      <c r="R13" s="871"/>
      <c r="S13" s="872"/>
      <c r="T13" s="872"/>
      <c r="U13" s="872"/>
      <c r="V13" s="873"/>
      <c r="W13" s="425"/>
    </row>
    <row r="14" spans="1:30" ht="15" customHeight="1">
      <c r="A14" s="607"/>
      <c r="B14" s="850"/>
      <c r="C14" s="1887"/>
      <c r="D14" s="1887"/>
      <c r="E14" s="1887"/>
      <c r="F14" s="1887"/>
      <c r="G14" s="1887"/>
      <c r="H14" s="1887"/>
      <c r="I14" s="923"/>
      <c r="J14" s="5"/>
      <c r="O14" s="6"/>
      <c r="P14" s="607"/>
      <c r="Q14" s="5"/>
      <c r="R14" s="643"/>
      <c r="S14" s="615" t="s">
        <v>358</v>
      </c>
      <c r="T14" s="616"/>
      <c r="U14" s="616"/>
      <c r="V14" s="644"/>
      <c r="W14" s="5"/>
    </row>
    <row r="15" spans="1:30" ht="15.75">
      <c r="A15" s="614"/>
      <c r="B15" s="1059"/>
      <c r="C15" s="1887"/>
      <c r="D15" s="1887"/>
      <c r="E15" s="1887"/>
      <c r="F15" s="1887"/>
      <c r="G15" s="1887"/>
      <c r="H15" s="1887"/>
      <c r="I15" s="105"/>
      <c r="J15" s="105"/>
      <c r="O15" s="1358"/>
      <c r="P15" s="614"/>
      <c r="Q15" s="5"/>
      <c r="R15" s="643"/>
      <c r="S15" s="610" t="s">
        <v>353</v>
      </c>
      <c r="T15" s="617"/>
      <c r="U15" s="617"/>
      <c r="V15" s="644"/>
      <c r="W15" s="5"/>
    </row>
    <row r="16" spans="1:30" ht="15.75">
      <c r="A16" s="614"/>
      <c r="B16" s="1327" t="s">
        <v>746</v>
      </c>
      <c r="C16" s="5" t="s">
        <v>932</v>
      </c>
      <c r="J16" s="1919" t="s">
        <v>1053</v>
      </c>
      <c r="K16" s="1920"/>
      <c r="L16" s="1920"/>
      <c r="M16" s="1920"/>
      <c r="N16" s="1921"/>
      <c r="O16" s="1358"/>
      <c r="P16" s="614"/>
      <c r="Q16" s="5"/>
      <c r="R16" s="643"/>
      <c r="S16" s="610" t="s">
        <v>367</v>
      </c>
      <c r="T16" s="617"/>
      <c r="U16" s="617"/>
      <c r="V16" s="644"/>
      <c r="W16" s="5"/>
    </row>
    <row r="17" spans="1:28" ht="15.75">
      <c r="A17" s="614"/>
      <c r="B17" s="7"/>
      <c r="J17" s="1916" t="str">
        <f>H7&amp;" pizzaer a "&amp;ROUND(H8,0)&amp;" g.  -   "&amp;ROUND(Y8*100,0)&amp;"% hydrering"</f>
        <v>6 pizzaer a 270 g.  -   60% hydrering</v>
      </c>
      <c r="K17" s="1917"/>
      <c r="L17" s="1917"/>
      <c r="M17" s="1917"/>
      <c r="N17" s="1918"/>
      <c r="O17" s="1358"/>
      <c r="P17" s="614"/>
      <c r="Q17" s="5"/>
      <c r="R17" s="643"/>
      <c r="S17" s="610" t="s">
        <v>359</v>
      </c>
      <c r="T17" s="607"/>
      <c r="U17" s="607"/>
      <c r="V17" s="644"/>
      <c r="W17" s="5"/>
    </row>
    <row r="18" spans="1:28" ht="15.75">
      <c r="A18" s="614"/>
      <c r="B18" s="1327" t="s">
        <v>746</v>
      </c>
      <c r="C18" s="5" t="s">
        <v>902</v>
      </c>
      <c r="H18" s="5"/>
      <c r="I18" s="5"/>
      <c r="J18" s="924"/>
      <c r="K18" s="105"/>
      <c r="L18" s="105"/>
      <c r="M18" s="105"/>
      <c r="N18" s="45"/>
      <c r="O18" s="1358"/>
      <c r="P18" s="614"/>
      <c r="Q18" s="5"/>
      <c r="R18" s="643"/>
      <c r="S18" s="608" t="s">
        <v>360</v>
      </c>
      <c r="T18" s="607"/>
      <c r="U18" s="607"/>
      <c r="V18" s="644"/>
      <c r="W18" s="5"/>
    </row>
    <row r="19" spans="1:28" ht="15" customHeight="1">
      <c r="A19" s="614"/>
      <c r="B19" s="7"/>
      <c r="C19" s="851" t="s">
        <v>901</v>
      </c>
      <c r="H19" s="5"/>
      <c r="I19" s="5"/>
      <c r="J19" s="924"/>
      <c r="K19" s="1442">
        <f>H10*(Y7/SUM(Y7:Y10))</f>
        <v>993.8198673089156</v>
      </c>
      <c r="L19" s="852" t="s">
        <v>12</v>
      </c>
      <c r="M19" s="105"/>
      <c r="N19" s="1755">
        <f>Y7</f>
        <v>1</v>
      </c>
      <c r="O19" s="1358"/>
      <c r="P19" s="614"/>
      <c r="Q19" s="5"/>
      <c r="R19" s="643"/>
      <c r="S19" s="610" t="s">
        <v>354</v>
      </c>
      <c r="T19" s="617"/>
      <c r="U19" s="617"/>
      <c r="V19" s="644"/>
      <c r="W19" s="5"/>
      <c r="AB19" s="1203"/>
    </row>
    <row r="20" spans="1:28" ht="15" customHeight="1">
      <c r="A20" s="614"/>
      <c r="B20" s="44"/>
      <c r="H20" s="5"/>
      <c r="I20" s="5"/>
      <c r="J20" s="924"/>
      <c r="K20" s="1442">
        <f>H10*(Y8/SUM(Y7:Y10))</f>
        <v>596.29192038534939</v>
      </c>
      <c r="L20" s="852" t="s">
        <v>899</v>
      </c>
      <c r="M20" s="105"/>
      <c r="N20" s="1756">
        <f>Y8</f>
        <v>0.6</v>
      </c>
      <c r="O20" s="1358"/>
      <c r="P20" s="614"/>
      <c r="Q20" s="5"/>
      <c r="R20" s="643"/>
      <c r="S20" s="610" t="s">
        <v>356</v>
      </c>
      <c r="T20" s="617"/>
      <c r="U20" s="617"/>
      <c r="V20" s="644"/>
      <c r="W20" s="5"/>
      <c r="AB20" s="1203"/>
    </row>
    <row r="21" spans="1:28" ht="15.75" customHeight="1">
      <c r="A21" s="614"/>
      <c r="B21" s="7"/>
      <c r="H21" s="5"/>
      <c r="I21" s="5"/>
      <c r="J21" s="924"/>
      <c r="K21" s="1442">
        <f>H10*(Y9/SUM(Y7:Y10))</f>
        <v>29.446514586930835</v>
      </c>
      <c r="L21" s="852" t="s">
        <v>29</v>
      </c>
      <c r="M21" s="105"/>
      <c r="N21" s="1757">
        <f>Y9</f>
        <v>2.9629629629629631E-2</v>
      </c>
      <c r="O21" s="1358"/>
      <c r="P21" s="614"/>
      <c r="Q21" s="5"/>
      <c r="R21" s="643"/>
      <c r="S21" s="610"/>
      <c r="T21" s="617"/>
      <c r="U21" s="617"/>
      <c r="V21" s="644"/>
      <c r="W21" s="5"/>
      <c r="AA21" s="1206" t="s">
        <v>898</v>
      </c>
      <c r="AB21" s="1203"/>
    </row>
    <row r="22" spans="1:28" ht="15.75">
      <c r="A22" s="614"/>
      <c r="B22" s="1059"/>
      <c r="E22" s="105"/>
      <c r="F22" s="105"/>
      <c r="G22" s="105"/>
      <c r="H22" s="425"/>
      <c r="I22" s="425"/>
      <c r="J22" s="924"/>
      <c r="K22" s="1445">
        <f>H10*(Y10/SUM(Y7:Y10))</f>
        <v>0.44169771880396252</v>
      </c>
      <c r="L22" s="852" t="str">
        <f>"g "&amp;AC11</f>
        <v>g frisk gær</v>
      </c>
      <c r="M22" s="105"/>
      <c r="N22" s="1759">
        <f>Y10</f>
        <v>4.4444444444444441E-4</v>
      </c>
      <c r="O22" s="1358"/>
      <c r="P22" s="614"/>
      <c r="Q22" s="5"/>
      <c r="R22" s="643"/>
      <c r="S22" s="615" t="s">
        <v>361</v>
      </c>
      <c r="T22" s="618"/>
      <c r="U22" s="618"/>
      <c r="V22" s="644"/>
      <c r="W22" s="5"/>
    </row>
    <row r="23" spans="1:28" ht="15.75">
      <c r="A23" s="614"/>
      <c r="B23" s="1059"/>
      <c r="C23" s="105"/>
      <c r="D23" s="105"/>
      <c r="E23" s="105"/>
      <c r="F23" s="105"/>
      <c r="G23" s="105"/>
      <c r="H23" s="425"/>
      <c r="I23" s="425"/>
      <c r="J23" s="1444"/>
      <c r="K23" s="467"/>
      <c r="L23" s="467"/>
      <c r="M23" s="467"/>
      <c r="N23" s="423"/>
      <c r="O23" s="1358"/>
      <c r="P23" s="614"/>
      <c r="Q23" s="5"/>
      <c r="R23" s="643"/>
      <c r="S23" s="610" t="s">
        <v>338</v>
      </c>
      <c r="T23" s="607"/>
      <c r="U23" s="192"/>
      <c r="V23" s="644"/>
      <c r="W23" s="5"/>
    </row>
    <row r="24" spans="1:28" ht="15.75">
      <c r="A24" s="614"/>
      <c r="B24" s="1059"/>
      <c r="C24" s="105"/>
      <c r="D24" s="105"/>
      <c r="E24" s="105"/>
      <c r="F24" s="105"/>
      <c r="G24" s="105"/>
      <c r="H24" s="105"/>
      <c r="I24" s="105"/>
      <c r="J24" s="105"/>
      <c r="K24" s="105"/>
      <c r="L24" s="105"/>
      <c r="M24" s="105"/>
      <c r="N24" s="105"/>
      <c r="O24" s="1358"/>
      <c r="P24" s="614"/>
      <c r="Q24" s="5"/>
      <c r="R24" s="643"/>
      <c r="S24" s="645" t="s">
        <v>339</v>
      </c>
      <c r="T24" s="607"/>
      <c r="U24" s="190"/>
      <c r="V24" s="644"/>
      <c r="W24" s="5"/>
    </row>
    <row r="25" spans="1:28" ht="18.75">
      <c r="A25" s="607"/>
      <c r="B25" s="1379" t="s">
        <v>1035</v>
      </c>
      <c r="C25" s="898" t="s">
        <v>0</v>
      </c>
      <c r="D25" s="535"/>
      <c r="E25" s="536"/>
      <c r="F25" s="536"/>
      <c r="G25" s="536"/>
      <c r="H25" s="536"/>
      <c r="I25" s="536"/>
      <c r="J25" s="536"/>
      <c r="K25" s="536"/>
      <c r="L25" s="536"/>
      <c r="M25" s="536"/>
      <c r="N25" s="536"/>
      <c r="O25" s="758"/>
      <c r="P25" s="607"/>
      <c r="Q25" s="5"/>
      <c r="R25" s="643"/>
      <c r="S25" s="645" t="s">
        <v>340</v>
      </c>
      <c r="T25" s="607"/>
      <c r="U25" s="190"/>
      <c r="V25" s="644"/>
      <c r="W25" s="5"/>
    </row>
    <row r="26" spans="1:28" ht="15.75">
      <c r="A26" s="607"/>
      <c r="B26" s="1057"/>
      <c r="C26" s="902"/>
      <c r="D26" s="902"/>
      <c r="E26" s="425"/>
      <c r="F26" s="425"/>
      <c r="G26" s="425"/>
      <c r="H26" s="425"/>
      <c r="I26" s="425"/>
      <c r="J26" s="425"/>
      <c r="K26" s="425"/>
      <c r="L26" s="425"/>
      <c r="M26" s="425"/>
      <c r="N26" s="425"/>
      <c r="O26" s="758"/>
      <c r="P26" s="607"/>
      <c r="Q26" s="5"/>
      <c r="R26" s="643"/>
      <c r="S26" s="645"/>
      <c r="T26" s="607"/>
      <c r="U26" s="922"/>
      <c r="V26" s="644"/>
      <c r="W26" s="5"/>
    </row>
    <row r="27" spans="1:28" ht="18">
      <c r="A27" s="607"/>
      <c r="B27" s="1398" t="s">
        <v>1034</v>
      </c>
      <c r="C27" s="708">
        <v>1</v>
      </c>
      <c r="D27" s="425" t="s">
        <v>900</v>
      </c>
      <c r="E27" s="425"/>
      <c r="F27" s="425"/>
      <c r="G27" s="425"/>
      <c r="H27" s="425"/>
      <c r="I27" s="425"/>
      <c r="J27" s="425"/>
      <c r="K27" s="105"/>
      <c r="L27" s="1220" t="str">
        <f>ROUND(K20,0)&amp;" g. vand, "&amp;ROUND(K22,2)&amp;" g. "&amp;AC11</f>
        <v>596 g. vand, 0,44 g. frisk gær</v>
      </c>
      <c r="M27" s="859"/>
      <c r="N27" s="860"/>
      <c r="O27" s="758"/>
      <c r="P27" s="607"/>
      <c r="Q27" s="5"/>
      <c r="R27" s="643"/>
      <c r="S27" s="612" t="s">
        <v>341</v>
      </c>
      <c r="T27" s="613"/>
      <c r="U27" s="191"/>
      <c r="V27" s="644"/>
      <c r="W27" s="5"/>
    </row>
    <row r="28" spans="1:28" ht="15.75">
      <c r="A28" s="607"/>
      <c r="B28" s="1059"/>
      <c r="C28" s="105"/>
      <c r="D28" s="105"/>
      <c r="E28" s="105"/>
      <c r="F28" s="105"/>
      <c r="G28" s="105"/>
      <c r="H28" s="105"/>
      <c r="I28" s="105"/>
      <c r="J28" s="105"/>
      <c r="K28" s="105"/>
      <c r="L28" s="105"/>
      <c r="M28" s="105"/>
      <c r="N28" s="105"/>
      <c r="O28" s="758"/>
      <c r="P28" s="607"/>
      <c r="Q28" s="5"/>
      <c r="R28" s="643"/>
      <c r="S28" s="645" t="s">
        <v>342</v>
      </c>
      <c r="T28" s="607"/>
      <c r="U28" s="1980" t="str">
        <f>IF(OR(U23="",U24=""),"",(U23*2)-U24-U25-(U27*2)&amp;"°")</f>
        <v/>
      </c>
      <c r="V28" s="644"/>
      <c r="W28" s="5"/>
    </row>
    <row r="29" spans="1:28" ht="18">
      <c r="A29" s="607"/>
      <c r="B29" s="1398" t="s">
        <v>1034</v>
      </c>
      <c r="C29" s="708">
        <v>2</v>
      </c>
      <c r="D29" s="425" t="s">
        <v>890</v>
      </c>
      <c r="E29" s="425"/>
      <c r="F29" s="425"/>
      <c r="G29" s="425"/>
      <c r="H29" s="425"/>
      <c r="I29" s="425"/>
      <c r="J29" s="425"/>
      <c r="K29" s="861"/>
      <c r="L29" s="1221" t="str">
        <f>ROUND(K19*0.1,0)&amp;" g mel"</f>
        <v>99 g mel</v>
      </c>
      <c r="M29" s="1204"/>
      <c r="N29" s="1205"/>
      <c r="O29" s="758"/>
      <c r="P29" s="607"/>
      <c r="Q29" s="5"/>
      <c r="R29" s="646"/>
      <c r="S29" s="647" t="s">
        <v>343</v>
      </c>
      <c r="T29" s="648"/>
      <c r="U29" s="1981"/>
      <c r="V29" s="649"/>
      <c r="W29" s="5"/>
    </row>
    <row r="30" spans="1:28" ht="15.75">
      <c r="A30" s="607"/>
      <c r="B30" s="1059"/>
      <c r="C30" s="105"/>
      <c r="D30" s="105" t="s">
        <v>891</v>
      </c>
      <c r="E30" s="105"/>
      <c r="F30" s="105"/>
      <c r="G30" s="105"/>
      <c r="H30" s="105"/>
      <c r="I30" s="105"/>
      <c r="J30" s="105"/>
      <c r="K30" s="105"/>
      <c r="L30" s="1279" t="str">
        <f>ROUND(K21,0)&amp;" g salt, "&amp;ROUND(K19*0.9,0)&amp;" g mel"</f>
        <v>29 g salt, 894 g mel</v>
      </c>
      <c r="M30" s="1037"/>
      <c r="N30" s="1038"/>
      <c r="O30" s="758"/>
      <c r="P30" s="607"/>
      <c r="Q30" s="5"/>
      <c r="R30" s="646"/>
      <c r="S30" s="608"/>
      <c r="T30" s="608"/>
      <c r="U30" s="608"/>
      <c r="V30" s="649"/>
      <c r="W30" s="5"/>
    </row>
    <row r="31" spans="1:28" ht="15.75">
      <c r="A31" s="607"/>
      <c r="B31" s="1059"/>
      <c r="D31" s="425"/>
      <c r="O31" s="758"/>
      <c r="P31" s="607"/>
      <c r="Q31" s="5"/>
      <c r="R31" s="646"/>
      <c r="S31" s="609" t="s">
        <v>362</v>
      </c>
      <c r="T31" s="609"/>
      <c r="U31" s="609"/>
      <c r="V31" s="649"/>
      <c r="W31" s="5"/>
    </row>
    <row r="32" spans="1:28" ht="18">
      <c r="A32" s="607"/>
      <c r="B32" s="1398" t="s">
        <v>1034</v>
      </c>
      <c r="C32" s="708">
        <v>3</v>
      </c>
      <c r="D32" s="105" t="s">
        <v>892</v>
      </c>
      <c r="E32" s="425"/>
      <c r="F32" s="425"/>
      <c r="G32" s="425"/>
      <c r="H32" s="425"/>
      <c r="I32" s="425"/>
      <c r="J32" s="425"/>
      <c r="K32" s="425"/>
      <c r="L32" s="1360"/>
      <c r="M32" s="852"/>
      <c r="N32" s="852"/>
      <c r="O32" s="758"/>
      <c r="P32" s="607"/>
      <c r="Q32" s="5"/>
      <c r="R32" s="646"/>
      <c r="S32" s="610" t="s">
        <v>364</v>
      </c>
      <c r="T32" s="608"/>
      <c r="U32" s="608"/>
      <c r="V32" s="649"/>
      <c r="W32" s="5"/>
    </row>
    <row r="33" spans="1:24" ht="15.75">
      <c r="A33" s="607"/>
      <c r="B33" s="1059"/>
      <c r="D33" s="425" t="s">
        <v>893</v>
      </c>
      <c r="O33" s="45"/>
      <c r="P33" s="607"/>
      <c r="Q33" s="5"/>
      <c r="R33" s="646"/>
      <c r="S33" s="610" t="s">
        <v>363</v>
      </c>
      <c r="T33" s="608"/>
      <c r="U33" s="608"/>
      <c r="V33" s="649"/>
      <c r="W33" s="5"/>
    </row>
    <row r="34" spans="1:24" ht="15.75">
      <c r="A34" s="607"/>
      <c r="B34" s="1059"/>
      <c r="C34" s="105"/>
      <c r="D34" s="105"/>
      <c r="E34" s="105"/>
      <c r="F34" s="105"/>
      <c r="G34" s="105"/>
      <c r="H34" s="105"/>
      <c r="I34" s="105"/>
      <c r="J34" s="105"/>
      <c r="K34" s="105"/>
      <c r="L34" s="939"/>
      <c r="M34" s="105"/>
      <c r="N34" s="105"/>
      <c r="O34" s="758"/>
      <c r="P34" s="607"/>
      <c r="Q34" s="5"/>
      <c r="R34" s="650"/>
      <c r="S34" s="651" t="s">
        <v>365</v>
      </c>
      <c r="T34" s="608"/>
      <c r="U34" s="608"/>
      <c r="V34" s="644"/>
      <c r="W34" s="5"/>
    </row>
    <row r="35" spans="1:24" ht="18">
      <c r="A35" s="607"/>
      <c r="B35" s="1398" t="s">
        <v>1034</v>
      </c>
      <c r="C35" s="708">
        <v>4</v>
      </c>
      <c r="D35" s="425" t="s">
        <v>895</v>
      </c>
      <c r="E35" s="105"/>
      <c r="F35" s="105"/>
      <c r="G35" s="105"/>
      <c r="H35" s="105"/>
      <c r="I35" s="105"/>
      <c r="J35" s="105"/>
      <c r="K35" s="105"/>
      <c r="L35" s="105"/>
      <c r="M35" s="105"/>
      <c r="N35" s="105"/>
      <c r="O35" s="758"/>
      <c r="P35" s="607"/>
      <c r="Q35" s="5"/>
      <c r="R35" s="643"/>
      <c r="S35" s="608" t="s">
        <v>474</v>
      </c>
      <c r="T35" s="611"/>
      <c r="U35" s="611"/>
      <c r="V35" s="644"/>
      <c r="W35" s="5"/>
    </row>
    <row r="36" spans="1:24" ht="15.75">
      <c r="A36" s="607"/>
      <c r="B36" s="1059"/>
      <c r="C36" s="708"/>
      <c r="D36" s="105"/>
      <c r="E36" s="425"/>
      <c r="F36" s="425"/>
      <c r="G36" s="425"/>
      <c r="H36" s="425"/>
      <c r="I36" s="425"/>
      <c r="J36" s="425"/>
      <c r="K36" s="425"/>
      <c r="L36" s="425"/>
      <c r="M36" s="425"/>
      <c r="N36" s="425"/>
      <c r="O36" s="758"/>
      <c r="P36" s="607"/>
      <c r="Q36" s="5"/>
      <c r="R36" s="643"/>
      <c r="S36" s="608" t="s">
        <v>366</v>
      </c>
      <c r="T36" s="611"/>
      <c r="U36" s="611"/>
      <c r="V36" s="644"/>
      <c r="W36" s="5"/>
    </row>
    <row r="37" spans="1:24" ht="18.75" thickBot="1">
      <c r="A37" s="607"/>
      <c r="B37" s="1398" t="s">
        <v>1034</v>
      </c>
      <c r="C37" s="708">
        <v>5</v>
      </c>
      <c r="D37" s="425" t="s">
        <v>894</v>
      </c>
      <c r="E37" s="105"/>
      <c r="F37" s="105"/>
      <c r="G37" s="105"/>
      <c r="H37" s="105"/>
      <c r="I37" s="105"/>
      <c r="J37" s="105"/>
      <c r="K37" s="105"/>
      <c r="L37" s="105"/>
      <c r="M37" s="105"/>
      <c r="N37" s="105"/>
      <c r="O37" s="758"/>
      <c r="P37" s="607"/>
      <c r="Q37" s="5"/>
      <c r="R37" s="652"/>
      <c r="S37" s="653"/>
      <c r="T37" s="654"/>
      <c r="U37" s="654"/>
      <c r="V37" s="655"/>
      <c r="W37" s="5"/>
    </row>
    <row r="38" spans="1:24" ht="15.75">
      <c r="A38" s="607"/>
      <c r="B38" s="1059"/>
      <c r="C38" s="708"/>
      <c r="D38" s="425"/>
      <c r="E38" s="425"/>
      <c r="F38" s="425"/>
      <c r="G38" s="425"/>
      <c r="H38" s="425"/>
      <c r="I38" s="425"/>
      <c r="J38" s="425"/>
      <c r="K38" s="425"/>
      <c r="L38" s="425"/>
      <c r="M38" s="425"/>
      <c r="N38" s="425"/>
      <c r="O38" s="758"/>
      <c r="P38" s="607"/>
      <c r="Q38" s="5"/>
      <c r="R38" s="5"/>
      <c r="S38" s="5"/>
      <c r="T38" s="5"/>
      <c r="U38" s="5"/>
      <c r="V38" s="5"/>
      <c r="W38" s="5"/>
      <c r="X38" s="5"/>
    </row>
    <row r="39" spans="1:24" ht="15.75">
      <c r="A39" s="607"/>
      <c r="B39" s="1059"/>
      <c r="C39" s="708"/>
      <c r="D39" s="425"/>
      <c r="E39" s="425"/>
      <c r="F39" s="425"/>
      <c r="G39" s="425"/>
      <c r="H39" s="425"/>
      <c r="I39" s="425"/>
      <c r="J39" s="425"/>
      <c r="K39" s="425"/>
      <c r="L39" s="425"/>
      <c r="M39" s="425"/>
      <c r="N39" s="425"/>
      <c r="O39" s="758"/>
      <c r="P39" s="607"/>
      <c r="Q39" s="5"/>
      <c r="R39" s="5"/>
      <c r="S39" s="5"/>
      <c r="T39" s="5"/>
      <c r="U39" s="5"/>
      <c r="V39" s="5"/>
      <c r="W39" s="5"/>
      <c r="X39" s="5"/>
    </row>
    <row r="40" spans="1:24" ht="17.25">
      <c r="A40" s="607"/>
      <c r="B40" s="1439"/>
      <c r="C40" s="1440" t="s">
        <v>4</v>
      </c>
      <c r="D40" s="535"/>
      <c r="E40" s="536"/>
      <c r="F40" s="536"/>
      <c r="G40" s="536"/>
      <c r="H40" s="536"/>
      <c r="I40" s="536"/>
      <c r="J40" s="536"/>
      <c r="K40" s="536"/>
      <c r="L40" s="536"/>
      <c r="M40" s="536"/>
      <c r="N40" s="536"/>
      <c r="O40" s="758"/>
      <c r="P40" s="607"/>
      <c r="Q40" s="5"/>
      <c r="R40" s="5"/>
      <c r="S40" s="5"/>
      <c r="T40" s="5"/>
      <c r="U40" s="5"/>
      <c r="V40" s="5"/>
      <c r="W40" s="5"/>
      <c r="X40" s="5"/>
    </row>
    <row r="41" spans="1:24" ht="15.75">
      <c r="A41" s="607"/>
      <c r="B41" s="1059"/>
      <c r="C41" s="1359"/>
      <c r="D41" s="902"/>
      <c r="E41" s="425"/>
      <c r="F41" s="425"/>
      <c r="G41" s="425"/>
      <c r="H41" s="425"/>
      <c r="I41" s="425"/>
      <c r="J41" s="425"/>
      <c r="K41" s="425"/>
      <c r="L41" s="425"/>
      <c r="M41" s="425"/>
      <c r="N41" s="425"/>
      <c r="O41" s="758"/>
      <c r="P41" s="607"/>
      <c r="Q41" s="5"/>
      <c r="R41" s="5"/>
      <c r="S41" s="5"/>
      <c r="T41" s="5"/>
      <c r="U41" s="5"/>
      <c r="V41" s="5"/>
      <c r="W41" s="5"/>
      <c r="X41" s="5"/>
    </row>
    <row r="42" spans="1:24" ht="18">
      <c r="A42" s="607"/>
      <c r="B42" s="1398" t="s">
        <v>1034</v>
      </c>
      <c r="C42" s="708">
        <v>6</v>
      </c>
      <c r="D42" s="425" t="str">
        <f>"Del dejen i "&amp;H7&amp;" klumper af ca. "&amp;ROUND(H8,0)&amp;" g."</f>
        <v>Del dejen i 6 klumper af ca. 270 g.</v>
      </c>
      <c r="E42" s="425"/>
      <c r="F42" s="425"/>
      <c r="G42" s="425"/>
      <c r="H42" s="425"/>
      <c r="I42" s="425"/>
      <c r="J42" s="425"/>
      <c r="K42" s="425"/>
      <c r="L42" s="425"/>
      <c r="M42" s="425"/>
      <c r="N42" s="425"/>
      <c r="O42" s="758"/>
      <c r="P42" s="607"/>
      <c r="Q42" s="5"/>
      <c r="R42" s="5"/>
      <c r="S42" s="5"/>
      <c r="T42" s="5"/>
      <c r="U42" s="5"/>
      <c r="V42" s="5"/>
      <c r="W42" s="5"/>
      <c r="X42" s="5"/>
    </row>
    <row r="43" spans="1:24" ht="15.75">
      <c r="A43" s="607"/>
      <c r="B43" s="1059"/>
      <c r="C43" s="105"/>
      <c r="D43" s="105"/>
      <c r="E43" s="105"/>
      <c r="F43" s="105"/>
      <c r="G43" s="105"/>
      <c r="H43" s="105"/>
      <c r="I43" s="105"/>
      <c r="J43" s="105"/>
      <c r="K43" s="105"/>
      <c r="L43" s="105"/>
      <c r="M43" s="105"/>
      <c r="N43" s="105"/>
      <c r="O43" s="758"/>
      <c r="P43" s="607"/>
      <c r="Q43" s="5"/>
      <c r="R43" s="5"/>
      <c r="S43" s="5"/>
      <c r="T43" s="5"/>
      <c r="U43" s="5"/>
      <c r="V43" s="5"/>
      <c r="W43" s="5"/>
      <c r="X43" s="5"/>
    </row>
    <row r="44" spans="1:24" ht="18">
      <c r="A44" s="607"/>
      <c r="B44" s="1398" t="s">
        <v>1034</v>
      </c>
      <c r="C44" s="708">
        <v>7</v>
      </c>
      <c r="D44" s="425" t="s">
        <v>896</v>
      </c>
      <c r="E44" s="425"/>
      <c r="F44" s="425"/>
      <c r="G44" s="425"/>
      <c r="H44" s="425"/>
      <c r="I44" s="425"/>
      <c r="J44" s="425"/>
      <c r="K44" s="425"/>
      <c r="L44" s="425"/>
      <c r="M44" s="425"/>
      <c r="N44" s="425"/>
      <c r="O44" s="758"/>
      <c r="P44" s="607"/>
      <c r="Q44" s="5"/>
      <c r="R44" s="5"/>
      <c r="S44" s="5"/>
      <c r="T44" s="5"/>
      <c r="U44" s="5"/>
      <c r="V44" s="5"/>
      <c r="W44" s="5"/>
      <c r="X44" s="5"/>
    </row>
    <row r="45" spans="1:24" ht="15.75">
      <c r="A45" s="607"/>
      <c r="B45" s="1059"/>
      <c r="C45" s="105"/>
      <c r="D45" s="105"/>
      <c r="E45" s="105"/>
      <c r="F45" s="105"/>
      <c r="G45" s="105"/>
      <c r="H45" s="105"/>
      <c r="I45" s="105"/>
      <c r="J45" s="105"/>
      <c r="K45" s="105"/>
      <c r="L45" s="105"/>
      <c r="M45" s="105"/>
      <c r="N45" s="105"/>
      <c r="O45" s="758"/>
      <c r="P45" s="607"/>
      <c r="Q45" s="5"/>
      <c r="R45" s="5"/>
      <c r="S45" s="5"/>
      <c r="T45" s="5"/>
      <c r="U45" s="5"/>
      <c r="V45" s="5"/>
      <c r="W45" s="5"/>
      <c r="X45" s="5"/>
    </row>
    <row r="46" spans="1:24" ht="18">
      <c r="A46" s="607"/>
      <c r="B46" s="1398" t="s">
        <v>1034</v>
      </c>
      <c r="C46" s="708">
        <v>8</v>
      </c>
      <c r="D46" s="425" t="s">
        <v>930</v>
      </c>
      <c r="E46" s="425"/>
      <c r="F46" s="425"/>
      <c r="G46" s="425"/>
      <c r="H46" s="425"/>
      <c r="I46" s="425"/>
      <c r="J46" s="425"/>
      <c r="K46" s="425"/>
      <c r="L46" s="425"/>
      <c r="M46" s="425"/>
      <c r="N46" s="425"/>
      <c r="O46" s="758"/>
      <c r="P46" s="607"/>
      <c r="Q46" s="5"/>
      <c r="R46" s="5"/>
      <c r="S46" s="5"/>
      <c r="T46" s="5"/>
      <c r="U46" s="5"/>
      <c r="V46" s="5"/>
      <c r="W46" s="5"/>
      <c r="X46" s="5"/>
    </row>
    <row r="47" spans="1:24" ht="15.75">
      <c r="A47" s="607"/>
      <c r="B47" s="1059"/>
      <c r="C47" s="708"/>
      <c r="D47" s="893" t="s">
        <v>931</v>
      </c>
      <c r="E47" s="425"/>
      <c r="F47" s="425"/>
      <c r="G47" s="425"/>
      <c r="H47" s="425"/>
      <c r="I47" s="425"/>
      <c r="J47" s="425"/>
      <c r="K47" s="425"/>
      <c r="L47" s="425"/>
      <c r="M47" s="425"/>
      <c r="N47" s="425"/>
      <c r="O47" s="758"/>
      <c r="P47" s="607"/>
      <c r="Q47" s="5"/>
      <c r="R47" s="5"/>
      <c r="S47" s="5"/>
      <c r="T47" s="5"/>
      <c r="U47" s="5"/>
      <c r="V47" s="5"/>
      <c r="W47" s="5"/>
      <c r="X47" s="5"/>
    </row>
    <row r="48" spans="1:24" ht="15.75">
      <c r="A48" s="607"/>
      <c r="B48" s="1059"/>
      <c r="C48" s="425"/>
      <c r="D48" s="425"/>
      <c r="E48" s="425"/>
      <c r="F48" s="425"/>
      <c r="G48" s="425"/>
      <c r="H48" s="425"/>
      <c r="I48" s="425"/>
      <c r="J48" s="425"/>
      <c r="K48" s="425"/>
      <c r="L48" s="425"/>
      <c r="M48" s="425"/>
      <c r="N48" s="425"/>
      <c r="O48" s="6"/>
      <c r="P48" s="607"/>
      <c r="Q48" s="5"/>
      <c r="R48" s="5"/>
      <c r="S48" s="5"/>
      <c r="T48" s="5"/>
      <c r="U48" s="5"/>
      <c r="V48" s="5"/>
      <c r="W48" s="5"/>
      <c r="X48" s="5"/>
    </row>
    <row r="49" spans="1:24" ht="18">
      <c r="A49" s="607"/>
      <c r="B49" s="1398" t="s">
        <v>1034</v>
      </c>
      <c r="C49" s="708">
        <v>9</v>
      </c>
      <c r="D49" s="425" t="s">
        <v>897</v>
      </c>
      <c r="E49" s="425"/>
      <c r="F49" s="425"/>
      <c r="G49" s="425"/>
      <c r="H49" s="425"/>
      <c r="I49" s="425"/>
      <c r="J49" s="425"/>
      <c r="K49" s="425"/>
      <c r="L49" s="425"/>
      <c r="M49" s="425"/>
      <c r="N49" s="425"/>
      <c r="O49" s="6"/>
      <c r="P49" s="607"/>
      <c r="Q49" s="5"/>
      <c r="R49" s="5"/>
      <c r="S49" s="5"/>
      <c r="T49" s="5"/>
      <c r="U49" s="5"/>
      <c r="V49" s="5"/>
      <c r="W49" s="5"/>
      <c r="X49" s="5"/>
    </row>
    <row r="50" spans="1:24" ht="15.75">
      <c r="A50" s="607"/>
      <c r="B50" s="1059"/>
      <c r="C50" s="425"/>
      <c r="D50" s="425"/>
      <c r="E50" s="425"/>
      <c r="F50" s="425"/>
      <c r="G50" s="425"/>
      <c r="H50" s="425"/>
      <c r="I50" s="425"/>
      <c r="J50" s="425"/>
      <c r="K50" s="425"/>
      <c r="L50" s="425"/>
      <c r="M50" s="425"/>
      <c r="N50" s="425"/>
      <c r="O50" s="6"/>
      <c r="P50" s="607"/>
      <c r="Q50" s="5"/>
      <c r="R50" s="5"/>
      <c r="S50" s="5"/>
      <c r="T50" s="5"/>
      <c r="U50" s="5"/>
      <c r="V50" s="5"/>
      <c r="W50" s="5"/>
      <c r="X50" s="5"/>
    </row>
    <row r="51" spans="1:24">
      <c r="A51" s="607"/>
      <c r="B51" s="2"/>
      <c r="C51" s="3"/>
      <c r="D51" s="3"/>
      <c r="E51" s="3"/>
      <c r="F51" s="3"/>
      <c r="G51" s="3"/>
      <c r="H51" s="3"/>
      <c r="I51" s="3"/>
      <c r="J51" s="3"/>
      <c r="K51" s="82"/>
      <c r="L51" s="760"/>
      <c r="M51" s="760"/>
      <c r="N51" s="760" t="s">
        <v>523</v>
      </c>
      <c r="O51" s="761"/>
      <c r="P51" s="607"/>
      <c r="Q51" s="5"/>
      <c r="R51" s="5"/>
      <c r="S51" s="5"/>
      <c r="T51" s="5"/>
      <c r="U51" s="5"/>
      <c r="V51" s="5"/>
      <c r="W51" s="5"/>
      <c r="X51" s="5"/>
    </row>
    <row r="52" spans="1:24" ht="15" customHeight="1">
      <c r="A52" s="607"/>
      <c r="B52" s="607"/>
      <c r="C52" s="607"/>
      <c r="D52" s="607"/>
      <c r="E52" s="607"/>
      <c r="F52" s="607"/>
      <c r="G52" s="607"/>
      <c r="H52" s="607"/>
      <c r="I52" s="607"/>
      <c r="J52" s="607"/>
      <c r="K52" s="607"/>
      <c r="L52" s="607"/>
      <c r="M52" s="607"/>
      <c r="N52" s="607"/>
      <c r="O52" s="607"/>
      <c r="P52" s="607"/>
      <c r="Q52" s="5"/>
      <c r="R52" s="5"/>
      <c r="S52" s="5"/>
      <c r="T52" s="5"/>
      <c r="U52" s="5"/>
      <c r="V52" s="5"/>
      <c r="W52" s="5"/>
      <c r="X52" s="5"/>
    </row>
  </sheetData>
  <sheetProtection algorithmName="SHA-512" hashValue="4qs9q/okkgFbVS4M5oVcyKYrFpcnVBOhZgWHz2dbys6i2kzNDqw41GX6JqltmqmQuRX3phUdrynjnbonT3CcVw==" saltValue="rb/hZpQMN34MpCf3SVHViA==" spinCount="100000" sheet="1" objects="1" scenarios="1" selectLockedCells="1"/>
  <mergeCells count="9">
    <mergeCell ref="U28:U29"/>
    <mergeCell ref="C2:J3"/>
    <mergeCell ref="B6:D6"/>
    <mergeCell ref="K6:N7"/>
    <mergeCell ref="I9:I10"/>
    <mergeCell ref="L10:M10"/>
    <mergeCell ref="C13:H15"/>
    <mergeCell ref="J17:N17"/>
    <mergeCell ref="J16:N16"/>
  </mergeCells>
  <dataValidations count="2">
    <dataValidation allowBlank="1" showInputMessage="1" showErrorMessage="1" promptTitle="Anbefaling" prompt="24-27°_x000a_Dejtemperaturen har meget stor betydning for det endelieg resultat." sqref="U23" xr:uid="{720A7108-7DFB-4F5F-88A3-12D8C1906D97}"/>
    <dataValidation type="list" allowBlank="1" showInputMessage="1" showErrorMessage="1" sqref="L10:M10" xr:uid="{86B22557-66A5-4E44-B78D-C45046103D55}">
      <formula1>$AB$7:$AB$9</formula1>
    </dataValidation>
  </dataValidations>
  <pageMargins left="0.25" right="0.25" top="0.75" bottom="0.75" header="0.3" footer="0.3"/>
  <pageSetup paperSize="9" scale="8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A9D8A-66FF-42C3-80A9-1A12CA0FCCA9}">
  <sheetPr codeName="Ark2">
    <tabColor theme="0"/>
    <pageSetUpPr fitToPage="1"/>
  </sheetPr>
  <dimension ref="A1:XFC65"/>
  <sheetViews>
    <sheetView showGridLines="0" showRowColHeaders="0" zoomScaleNormal="100" workbookViewId="0">
      <pane ySplit="4" topLeftCell="A5" activePane="bottomLeft" state="frozen"/>
      <selection activeCell="H8" sqref="H8"/>
      <selection pane="bottomLeft" activeCell="H7" sqref="H7"/>
    </sheetView>
  </sheetViews>
  <sheetFormatPr defaultColWidth="0" defaultRowHeight="15" zeroHeight="1"/>
  <cols>
    <col min="1" max="1" width="3.5703125" customWidth="1"/>
    <col min="2" max="3" width="7.140625" customWidth="1"/>
    <col min="4" max="4" width="15.7109375" customWidth="1"/>
    <col min="5" max="5" width="5.5703125" customWidth="1"/>
    <col min="6" max="6" width="6.85546875" customWidth="1"/>
    <col min="7" max="7" width="6" customWidth="1"/>
    <col min="8" max="8" width="8.5703125" customWidth="1"/>
    <col min="9" max="9" width="9.5703125" customWidth="1"/>
    <col min="10" max="10" width="7.5703125" customWidth="1"/>
    <col min="11" max="11" width="6.85546875" customWidth="1"/>
    <col min="12" max="12" width="6.28515625" customWidth="1"/>
    <col min="13" max="13" width="7.5703125" customWidth="1"/>
    <col min="14" max="14" width="11.42578125" customWidth="1"/>
    <col min="15" max="16" width="3.140625" customWidth="1"/>
    <col min="17" max="17" width="6.28515625" customWidth="1"/>
    <col min="18" max="18" width="8" customWidth="1"/>
    <col min="19" max="19" width="19.85546875" customWidth="1"/>
    <col min="20" max="20" width="8.140625" customWidth="1"/>
    <col min="21" max="21" width="8" customWidth="1"/>
    <col min="22" max="22" width="3.5703125" customWidth="1"/>
    <col min="23" max="23" width="8.7109375" hidden="1"/>
    <col min="24" max="24" width="11.28515625" hidden="1"/>
    <col min="25" max="25" width="9.42578125" hidden="1"/>
    <col min="26" max="29" width="8.7109375" hidden="1"/>
    <col min="30" max="16382" width="0.5703125" hidden="1"/>
    <col min="16383" max="16383" width="9.140625" hidden="1"/>
    <col min="16384" max="16384" width="0.5703125" hidden="1"/>
  </cols>
  <sheetData>
    <row r="1" spans="1:29" ht="15" customHeight="1">
      <c r="A1" s="660"/>
      <c r="B1" s="660"/>
      <c r="C1" s="661"/>
      <c r="D1" s="661"/>
      <c r="E1" s="661"/>
      <c r="F1" s="661"/>
      <c r="G1" s="661"/>
      <c r="H1" s="661"/>
      <c r="I1" s="661"/>
      <c r="J1" s="660"/>
      <c r="K1" s="660"/>
      <c r="L1" s="660"/>
      <c r="M1" s="660"/>
      <c r="N1" s="660"/>
      <c r="O1" s="660"/>
      <c r="P1" s="660"/>
      <c r="Q1" s="660"/>
      <c r="R1" s="660"/>
      <c r="S1" s="658"/>
      <c r="T1" s="658"/>
      <c r="U1" s="658"/>
      <c r="V1" s="658"/>
    </row>
    <row r="2" spans="1:29" ht="15" customHeight="1">
      <c r="A2" s="660"/>
      <c r="B2" s="660"/>
      <c r="C2" s="1982" t="s">
        <v>1051</v>
      </c>
      <c r="D2" s="1982"/>
      <c r="E2" s="1982"/>
      <c r="F2" s="1982"/>
      <c r="G2" s="1982"/>
      <c r="H2" s="1982"/>
      <c r="I2" s="1982"/>
      <c r="J2" s="1982"/>
      <c r="K2" s="660"/>
      <c r="L2" s="660"/>
      <c r="M2" s="660"/>
      <c r="N2" s="660"/>
      <c r="O2" s="660"/>
      <c r="P2" s="660"/>
      <c r="Q2" s="660"/>
      <c r="R2" s="662"/>
      <c r="S2" s="658"/>
      <c r="T2" s="658"/>
      <c r="U2" s="658"/>
      <c r="V2" s="658"/>
    </row>
    <row r="3" spans="1:29" ht="15" customHeight="1">
      <c r="A3" s="660"/>
      <c r="B3" s="660"/>
      <c r="C3" s="1982"/>
      <c r="D3" s="1982"/>
      <c r="E3" s="1982"/>
      <c r="F3" s="1982"/>
      <c r="G3" s="1982"/>
      <c r="H3" s="1982"/>
      <c r="I3" s="1982"/>
      <c r="J3" s="1982"/>
      <c r="K3" s="660"/>
      <c r="L3" s="660"/>
      <c r="M3" s="660"/>
      <c r="N3" s="660"/>
      <c r="O3" s="660"/>
      <c r="P3" s="660"/>
      <c r="Q3" s="660"/>
      <c r="R3" s="660"/>
      <c r="S3" s="658"/>
      <c r="T3" s="658"/>
      <c r="U3" s="658"/>
      <c r="V3" s="658"/>
    </row>
    <row r="4" spans="1:29" ht="15" customHeight="1" thickBot="1">
      <c r="A4" s="663"/>
      <c r="B4" s="663"/>
      <c r="C4" s="664" t="s">
        <v>381</v>
      </c>
      <c r="D4" s="665"/>
      <c r="E4" s="665"/>
      <c r="F4" s="665"/>
      <c r="G4" s="665"/>
      <c r="H4" s="665"/>
      <c r="I4" s="665"/>
      <c r="J4" s="663"/>
      <c r="K4" s="663"/>
      <c r="L4" s="663"/>
      <c r="M4" s="663"/>
      <c r="N4" s="663"/>
      <c r="O4" s="663"/>
      <c r="P4" s="663"/>
      <c r="Q4" s="663"/>
      <c r="R4" s="663"/>
      <c r="S4" s="659"/>
      <c r="T4" s="659"/>
      <c r="U4" s="659"/>
      <c r="V4" s="659"/>
    </row>
    <row r="5" spans="1:29" ht="17.25" customHeight="1" thickTop="1" thickBot="1">
      <c r="A5" s="620"/>
      <c r="B5" s="620"/>
      <c r="C5" s="620"/>
      <c r="D5" s="620"/>
      <c r="E5" s="620"/>
      <c r="F5" s="620"/>
      <c r="G5" s="620"/>
      <c r="H5" s="620"/>
      <c r="I5" s="620"/>
      <c r="J5" s="620"/>
      <c r="K5" s="869"/>
      <c r="L5" s="869"/>
      <c r="M5" s="869"/>
      <c r="N5" s="620"/>
      <c r="O5" s="620"/>
      <c r="P5" s="614"/>
      <c r="Q5" s="1993" t="s">
        <v>1075</v>
      </c>
      <c r="R5" s="1994"/>
      <c r="S5" s="1994"/>
      <c r="T5" s="1994"/>
      <c r="U5" s="1994"/>
      <c r="V5" s="1994"/>
    </row>
    <row r="6" spans="1:29" s="105" customFormat="1" ht="17.25" customHeight="1" thickTop="1" thickBot="1">
      <c r="A6" s="620"/>
      <c r="B6" s="1983" t="s">
        <v>344</v>
      </c>
      <c r="C6" s="1984"/>
      <c r="D6" s="1985"/>
      <c r="E6" s="621"/>
      <c r="F6" s="614"/>
      <c r="G6" s="614"/>
      <c r="H6" s="614"/>
      <c r="I6" s="867"/>
      <c r="J6" s="614"/>
      <c r="K6" s="1986" t="s">
        <v>745</v>
      </c>
      <c r="L6" s="1986"/>
      <c r="M6" s="1986"/>
      <c r="N6" s="1986"/>
      <c r="O6" s="620"/>
      <c r="P6" s="614"/>
      <c r="Q6" s="1995"/>
      <c r="R6" s="1996"/>
      <c r="S6" s="1996"/>
      <c r="T6" s="1996"/>
      <c r="U6" s="1996"/>
      <c r="V6" s="1996"/>
      <c r="X6" s="280" t="s">
        <v>418</v>
      </c>
      <c r="Y6" s="281"/>
      <c r="AA6" s="43" t="s">
        <v>299</v>
      </c>
      <c r="AB6" s="53" t="s">
        <v>809</v>
      </c>
      <c r="AC6" s="911" t="s">
        <v>756</v>
      </c>
    </row>
    <row r="7" spans="1:29" s="105" customFormat="1" ht="17.25" thickTop="1" thickBot="1">
      <c r="A7" s="620"/>
      <c r="B7" s="636">
        <v>1</v>
      </c>
      <c r="C7" s="621" t="s">
        <v>374</v>
      </c>
      <c r="D7" s="637"/>
      <c r="E7" s="633"/>
      <c r="F7" s="634" t="s">
        <v>372</v>
      </c>
      <c r="G7" s="620"/>
      <c r="H7" s="685">
        <v>6</v>
      </c>
      <c r="I7" s="866" t="s">
        <v>379</v>
      </c>
      <c r="J7" s="614"/>
      <c r="K7" s="1986"/>
      <c r="L7" s="1986"/>
      <c r="M7" s="1986"/>
      <c r="N7" s="1986"/>
      <c r="O7" s="620"/>
      <c r="P7" s="614"/>
      <c r="Q7" s="643"/>
      <c r="R7" s="623" t="s">
        <v>1289</v>
      </c>
      <c r="S7" s="1845" t="s">
        <v>1290</v>
      </c>
      <c r="T7" s="1997"/>
      <c r="U7" s="1997"/>
      <c r="V7" s="1997"/>
      <c r="X7" s="287">
        <v>1</v>
      </c>
      <c r="Y7" s="288" t="s">
        <v>420</v>
      </c>
      <c r="AA7" s="44" t="s">
        <v>376</v>
      </c>
      <c r="AB7" s="45" t="s">
        <v>376</v>
      </c>
      <c r="AC7" s="912">
        <v>1</v>
      </c>
    </row>
    <row r="8" spans="1:29" s="105" customFormat="1" ht="17.25" thickTop="1" thickBot="1">
      <c r="A8" s="620"/>
      <c r="B8" s="636">
        <v>0.63</v>
      </c>
      <c r="C8" s="621" t="s">
        <v>1026</v>
      </c>
      <c r="D8" s="637"/>
      <c r="E8" s="621"/>
      <c r="F8" s="634" t="s">
        <v>373</v>
      </c>
      <c r="G8" s="614"/>
      <c r="H8" s="686">
        <v>270</v>
      </c>
      <c r="I8" s="866" t="s">
        <v>380</v>
      </c>
      <c r="J8" s="614"/>
      <c r="K8" s="1103"/>
      <c r="L8" s="619" t="str">
        <f>C8</f>
        <v>hydrering</v>
      </c>
      <c r="M8" s="635"/>
      <c r="N8" s="614"/>
      <c r="O8" s="620"/>
      <c r="P8" s="614"/>
      <c r="Q8" s="643"/>
      <c r="R8" s="623" t="s">
        <v>1060</v>
      </c>
      <c r="S8" s="1621">
        <v>0.72916666666666663</v>
      </c>
      <c r="T8" s="1998" t="s">
        <v>644</v>
      </c>
      <c r="U8" s="1998"/>
      <c r="V8" s="1998"/>
      <c r="X8" s="284">
        <f>IF(K8="",B8,K8)</f>
        <v>0.63</v>
      </c>
      <c r="Y8" s="285" t="s">
        <v>419</v>
      </c>
      <c r="AA8" s="44" t="s">
        <v>807</v>
      </c>
      <c r="AB8" s="45" t="s">
        <v>385</v>
      </c>
      <c r="AC8" s="913">
        <v>4</v>
      </c>
    </row>
    <row r="9" spans="1:29" s="105" customFormat="1" ht="16.5" thickTop="1">
      <c r="A9" s="620"/>
      <c r="B9" s="638">
        <v>2.5000000000000001E-2</v>
      </c>
      <c r="C9" s="621" t="s">
        <v>375</v>
      </c>
      <c r="D9" s="637"/>
      <c r="E9" s="621"/>
      <c r="F9" s="614"/>
      <c r="G9" s="622"/>
      <c r="H9" s="614"/>
      <c r="I9" s="1987" t="s">
        <v>380</v>
      </c>
      <c r="J9" s="614"/>
      <c r="K9" s="1104"/>
      <c r="L9" s="619" t="str">
        <f>C9</f>
        <v>salt</v>
      </c>
      <c r="M9" s="635"/>
      <c r="N9" s="614"/>
      <c r="O9" s="620"/>
      <c r="P9" s="614"/>
      <c r="Q9" s="643"/>
      <c r="R9" s="620"/>
      <c r="S9" s="1807">
        <f ca="1">TODAY()+MOD(MATCH(S7,{"Mandag";"Tirsdag";"Onsdag";"Torsdag";"Fredag";"Lørdag";"Søndag"},0)-WEEKDAY(TODAY(),2)+7,7)</f>
        <v>45926</v>
      </c>
      <c r="T9" s="868"/>
      <c r="U9" s="675"/>
      <c r="V9" s="614"/>
      <c r="X9" s="284">
        <f>IF(K9="",B9,K9)</f>
        <v>2.5000000000000001E-2</v>
      </c>
      <c r="Y9" s="328" t="s">
        <v>375</v>
      </c>
      <c r="AA9" s="44" t="s">
        <v>806</v>
      </c>
      <c r="AB9" s="45" t="s">
        <v>385</v>
      </c>
      <c r="AC9" s="913">
        <v>3</v>
      </c>
    </row>
    <row r="10" spans="1:29" s="105" customFormat="1" ht="16.5" thickBot="1">
      <c r="A10" s="620"/>
      <c r="B10" s="639">
        <v>5.0000000000000001E-4</v>
      </c>
      <c r="C10" s="640" t="s">
        <v>376</v>
      </c>
      <c r="D10" s="641"/>
      <c r="E10" s="625"/>
      <c r="F10" s="626" t="s">
        <v>382</v>
      </c>
      <c r="G10" s="622"/>
      <c r="H10" s="627">
        <f>H7*H8</f>
        <v>1620</v>
      </c>
      <c r="I10" s="1987"/>
      <c r="J10" s="614"/>
      <c r="K10" s="1105"/>
      <c r="L10" s="1988" t="s">
        <v>376</v>
      </c>
      <c r="M10" s="1952"/>
      <c r="N10" s="1761">
        <f>IF(L10&lt;&gt;"tørgær",X10,IF(K10="",B10,""))</f>
        <v>5.0000000000000001E-4</v>
      </c>
      <c r="O10" s="620"/>
      <c r="P10" s="614"/>
      <c r="Q10" s="643"/>
      <c r="R10" s="620"/>
      <c r="S10" s="614"/>
      <c r="T10" s="868"/>
      <c r="U10" s="675"/>
      <c r="V10" s="614"/>
      <c r="X10" s="284">
        <f>IF(L10="frisk gær",IF(K10="",B10,K10),IF(K10="",B10,K10)/AC11)</f>
        <v>5.0000000000000001E-4</v>
      </c>
      <c r="Y10" s="328" t="str">
        <f>AB11</f>
        <v>frisk gær</v>
      </c>
      <c r="AA10" s="44" t="s">
        <v>805</v>
      </c>
      <c r="AB10" s="45" t="s">
        <v>808</v>
      </c>
      <c r="AC10" s="914">
        <v>3</v>
      </c>
    </row>
    <row r="11" spans="1:29" s="105" customFormat="1" ht="15.75">
      <c r="A11" s="620"/>
      <c r="B11" s="629"/>
      <c r="C11" s="621"/>
      <c r="D11" s="614"/>
      <c r="E11" s="625"/>
      <c r="F11" s="614"/>
      <c r="G11" s="614"/>
      <c r="H11" s="614"/>
      <c r="I11" s="626"/>
      <c r="J11" s="622"/>
      <c r="K11" s="623"/>
      <c r="L11" s="620"/>
      <c r="M11" s="628"/>
      <c r="N11" s="623"/>
      <c r="O11" s="620"/>
      <c r="P11" s="614"/>
      <c r="Q11" s="643"/>
      <c r="R11" s="1546" t="s">
        <v>1089</v>
      </c>
      <c r="S11" s="1547"/>
      <c r="T11" s="1560">
        <v>1.7361111111111112E-2</v>
      </c>
      <c r="U11" s="1990" t="s">
        <v>644</v>
      </c>
      <c r="V11" s="1990"/>
      <c r="X11" s="327"/>
      <c r="Y11" s="328"/>
      <c r="AA11" s="909" t="s">
        <v>764</v>
      </c>
      <c r="AB11" s="910" t="str">
        <f>VLOOKUP(L10,AA7:AB10,2,FALSE)</f>
        <v>frisk gær</v>
      </c>
      <c r="AC11" s="921">
        <f>VLOOKUP(L10,AA7:AC10,3,FALSE)</f>
        <v>1</v>
      </c>
    </row>
    <row r="12" spans="1:29" s="105" customFormat="1" ht="15.75">
      <c r="A12" s="620"/>
      <c r="B12" s="620"/>
      <c r="C12" s="620"/>
      <c r="D12" s="620"/>
      <c r="E12" s="620"/>
      <c r="F12" s="630"/>
      <c r="G12" s="620"/>
      <c r="H12" s="620"/>
      <c r="I12" s="620"/>
      <c r="J12" s="614"/>
      <c r="K12" s="614"/>
      <c r="L12" s="614"/>
      <c r="M12" s="631"/>
      <c r="N12" s="632"/>
      <c r="O12" s="620"/>
      <c r="P12" s="614"/>
      <c r="Q12" s="643"/>
      <c r="R12" s="623" t="s">
        <v>1074</v>
      </c>
      <c r="S12" s="1544"/>
      <c r="T12" s="1561">
        <v>1.7361111111111112E-2</v>
      </c>
      <c r="U12" s="813" t="s">
        <v>644</v>
      </c>
      <c r="V12" s="813"/>
    </row>
    <row r="13" spans="1:29" s="105" customFormat="1" ht="15.75">
      <c r="A13" s="614"/>
      <c r="B13" s="1353"/>
      <c r="C13" s="1954" t="str">
        <f>C2</f>
        <v>Bagerkokkens Pizza Napoli</v>
      </c>
      <c r="D13" s="1954"/>
      <c r="E13" s="1954"/>
      <c r="F13" s="1954"/>
      <c r="G13" s="1954"/>
      <c r="H13" s="1954"/>
      <c r="I13" s="1354"/>
      <c r="J13" s="1355"/>
      <c r="K13" s="1356"/>
      <c r="L13" s="1356"/>
      <c r="M13" s="1355"/>
      <c r="N13" s="1355"/>
      <c r="O13" s="1357"/>
      <c r="P13" s="614"/>
      <c r="Q13" s="643"/>
      <c r="R13" s="623" t="s">
        <v>1062</v>
      </c>
      <c r="S13" s="1544"/>
      <c r="T13" s="1561">
        <v>6.9444444444444441E-3</v>
      </c>
      <c r="U13" s="813" t="s">
        <v>644</v>
      </c>
      <c r="V13" s="813"/>
    </row>
    <row r="14" spans="1:29" ht="15" customHeight="1">
      <c r="A14" s="607"/>
      <c r="B14" s="850"/>
      <c r="C14" s="1887"/>
      <c r="D14" s="1887"/>
      <c r="E14" s="1887"/>
      <c r="F14" s="1887"/>
      <c r="G14" s="1887"/>
      <c r="H14" s="1887"/>
      <c r="I14" s="923"/>
      <c r="J14" s="5"/>
      <c r="O14" s="6"/>
      <c r="P14" s="607"/>
      <c r="Q14" s="643"/>
      <c r="R14" s="623" t="s">
        <v>1061</v>
      </c>
      <c r="S14" s="1544"/>
      <c r="T14" s="1579">
        <v>1</v>
      </c>
      <c r="U14" s="813" t="s">
        <v>644</v>
      </c>
      <c r="V14" s="813"/>
    </row>
    <row r="15" spans="1:29" ht="15.75">
      <c r="A15" s="614"/>
      <c r="B15" s="1059"/>
      <c r="C15" s="1887"/>
      <c r="D15" s="1887"/>
      <c r="E15" s="1887"/>
      <c r="F15" s="1887"/>
      <c r="G15" s="1887"/>
      <c r="H15" s="1887"/>
      <c r="I15" s="105"/>
      <c r="J15" s="105"/>
      <c r="O15" s="1358"/>
      <c r="P15" s="614"/>
      <c r="Q15" s="643"/>
      <c r="R15" s="607"/>
      <c r="S15" s="607"/>
      <c r="T15" s="607"/>
      <c r="U15" s="607"/>
      <c r="V15" s="607"/>
    </row>
    <row r="16" spans="1:29" ht="15.75">
      <c r="A16" s="614"/>
      <c r="B16" s="1441" t="s">
        <v>746</v>
      </c>
      <c r="C16" s="5" t="str">
        <f>IF(AB11="tørgær","For at tørgæren udvikler sig bedst, skal vandet være 25°.","Frisk gær arbejder bedst når dejen er 25-27°.")</f>
        <v>Frisk gær arbejder bedst når dejen er 25-27°.</v>
      </c>
      <c r="J16" s="1919" t="s">
        <v>1043</v>
      </c>
      <c r="K16" s="1920"/>
      <c r="L16" s="1920"/>
      <c r="M16" s="1920"/>
      <c r="N16" s="1921"/>
      <c r="O16" s="1358"/>
      <c r="P16" s="614"/>
      <c r="Q16" s="643"/>
      <c r="R16" s="1546" t="s">
        <v>1090</v>
      </c>
      <c r="S16" s="1547"/>
      <c r="T16" s="1573">
        <v>6.9444444444444441E-3</v>
      </c>
      <c r="U16" s="1990" t="s">
        <v>644</v>
      </c>
      <c r="V16" s="1990"/>
    </row>
    <row r="17" spans="1:22" ht="15.75">
      <c r="A17" s="614"/>
      <c r="B17" s="1441" t="s">
        <v>746</v>
      </c>
      <c r="C17" s="5" t="s">
        <v>797</v>
      </c>
      <c r="J17" s="1999" t="str">
        <f>H7&amp;" pizzaer a "&amp;ROUND(H8,0)&amp;" g.  -   "&amp;ROUND(X8*100,0)&amp;"% hydrering"</f>
        <v>6 pizzaer a 270 g.  -   63% hydrering</v>
      </c>
      <c r="K17" s="2000"/>
      <c r="L17" s="2000"/>
      <c r="M17" s="2000"/>
      <c r="N17" s="2001"/>
      <c r="O17" s="1358"/>
      <c r="P17" s="614"/>
      <c r="Q17" s="643"/>
      <c r="R17" s="623" t="s">
        <v>1063</v>
      </c>
      <c r="S17" s="1544"/>
      <c r="T17" s="1560">
        <v>1.7916666666666667</v>
      </c>
      <c r="U17" s="813" t="s">
        <v>644</v>
      </c>
      <c r="V17" s="1548"/>
    </row>
    <row r="18" spans="1:22" ht="15.75">
      <c r="A18" s="614"/>
      <c r="B18" s="1441" t="s">
        <v>746</v>
      </c>
      <c r="C18" s="5" t="s">
        <v>831</v>
      </c>
      <c r="H18" s="5"/>
      <c r="I18" s="5"/>
      <c r="J18" s="948"/>
      <c r="K18" s="74"/>
      <c r="L18" s="74"/>
      <c r="M18" s="74"/>
      <c r="N18" s="49"/>
      <c r="O18" s="1358"/>
      <c r="P18" s="614"/>
      <c r="Q18" s="643"/>
      <c r="R18" s="607"/>
      <c r="S18" s="607"/>
      <c r="T18" s="607"/>
      <c r="U18" s="607"/>
      <c r="V18" s="607"/>
    </row>
    <row r="19" spans="1:22" ht="15" customHeight="1">
      <c r="A19" s="614"/>
      <c r="B19" s="1441" t="s">
        <v>746</v>
      </c>
      <c r="C19" s="851" t="s">
        <v>758</v>
      </c>
      <c r="H19" s="5"/>
      <c r="I19" s="5"/>
      <c r="J19" s="924"/>
      <c r="K19" s="1442">
        <f>H10*(X7/SUM(X7:X10))</f>
        <v>978.55632739353689</v>
      </c>
      <c r="L19" s="852" t="s">
        <v>12</v>
      </c>
      <c r="M19" s="105"/>
      <c r="N19" s="1755">
        <f>X7</f>
        <v>1</v>
      </c>
      <c r="O19" s="1358"/>
      <c r="P19" s="614"/>
      <c r="Q19" s="643"/>
      <c r="R19" s="1546" t="str">
        <f ca="1">R26</f>
        <v>Dag 4</v>
      </c>
      <c r="S19" s="1547"/>
      <c r="T19" s="607"/>
      <c r="U19" s="607"/>
      <c r="V19" s="607"/>
    </row>
    <row r="20" spans="1:22" ht="15" customHeight="1">
      <c r="A20" s="614"/>
      <c r="B20" s="1441"/>
      <c r="C20" s="67"/>
      <c r="D20" s="851"/>
      <c r="H20" s="5"/>
      <c r="I20" s="5"/>
      <c r="J20" s="924"/>
      <c r="K20" s="1442">
        <f>H10*(X8/SUM(X7:X10))</f>
        <v>616.49048625792818</v>
      </c>
      <c r="L20" s="852" t="s">
        <v>444</v>
      </c>
      <c r="M20" s="105"/>
      <c r="N20" s="1755">
        <f>X8</f>
        <v>0.63</v>
      </c>
      <c r="O20" s="1358"/>
      <c r="P20" s="614"/>
      <c r="Q20" s="643"/>
      <c r="R20" s="623" t="s">
        <v>1069</v>
      </c>
      <c r="S20" s="620"/>
      <c r="T20" s="1572">
        <v>0.125</v>
      </c>
      <c r="U20" s="813" t="s">
        <v>644</v>
      </c>
      <c r="V20" s="607"/>
    </row>
    <row r="21" spans="1:22" ht="15.75" customHeight="1">
      <c r="A21" s="614"/>
      <c r="B21" s="1441" t="s">
        <v>746</v>
      </c>
      <c r="C21" s="67" t="s">
        <v>1209</v>
      </c>
      <c r="H21" s="5"/>
      <c r="I21" s="5"/>
      <c r="J21" s="924"/>
      <c r="K21" s="1443">
        <f>H10*(X9/SUM(X7:X10))</f>
        <v>24.463908184838424</v>
      </c>
      <c r="L21" s="852" t="s">
        <v>29</v>
      </c>
      <c r="M21" s="105"/>
      <c r="N21" s="1764">
        <f>X9</f>
        <v>2.5000000000000001E-2</v>
      </c>
      <c r="O21" s="1358"/>
      <c r="P21" s="614"/>
      <c r="Q21" s="643"/>
      <c r="R21" s="607"/>
      <c r="S21" s="607"/>
      <c r="T21" s="607"/>
      <c r="U21" s="607"/>
      <c r="V21" s="607"/>
    </row>
    <row r="22" spans="1:22" ht="16.5" thickBot="1">
      <c r="A22" s="614"/>
      <c r="B22" s="7"/>
      <c r="C22" s="5" t="s">
        <v>1208</v>
      </c>
      <c r="E22" s="105"/>
      <c r="F22" s="105"/>
      <c r="G22" s="105"/>
      <c r="H22" s="425"/>
      <c r="I22" s="425"/>
      <c r="J22" s="924"/>
      <c r="K22" s="1445">
        <f>H10*(X10/SUM(X7:X10))</f>
        <v>0.48927816369676841</v>
      </c>
      <c r="L22" s="852" t="str">
        <f>"g "&amp;AB11</f>
        <v>g frisk gær</v>
      </c>
      <c r="M22" s="105"/>
      <c r="N22" s="1765">
        <f>X10</f>
        <v>5.0000000000000001E-4</v>
      </c>
      <c r="O22" s="1358"/>
      <c r="P22" s="614"/>
      <c r="Q22" s="643"/>
      <c r="R22" s="1569" t="s">
        <v>1073</v>
      </c>
      <c r="S22" s="1570"/>
      <c r="T22" s="1568">
        <f>SUM(T11:T20)</f>
        <v>2.9652777777777777</v>
      </c>
      <c r="U22" s="1571" t="s">
        <v>644</v>
      </c>
      <c r="V22" s="607"/>
    </row>
    <row r="23" spans="1:22" ht="15.75">
      <c r="A23" s="614"/>
      <c r="B23" s="1059"/>
      <c r="C23" s="5" t="s">
        <v>1211</v>
      </c>
      <c r="D23" s="105"/>
      <c r="E23" s="105"/>
      <c r="F23" s="105"/>
      <c r="G23" s="105"/>
      <c r="H23" s="425"/>
      <c r="I23" s="425"/>
      <c r="J23" s="1444"/>
      <c r="K23" s="467"/>
      <c r="L23" s="467"/>
      <c r="M23" s="467"/>
      <c r="N23" s="423"/>
      <c r="O23" s="1358"/>
      <c r="P23" s="614"/>
      <c r="Q23" s="643"/>
      <c r="R23" s="614"/>
      <c r="S23" s="1543"/>
      <c r="T23" s="1543"/>
      <c r="U23" s="1541"/>
      <c r="V23" s="607"/>
    </row>
    <row r="24" spans="1:22" ht="15.75">
      <c r="A24" s="614"/>
      <c r="B24" s="1059"/>
      <c r="C24" s="105"/>
      <c r="D24" s="105"/>
      <c r="E24" s="105"/>
      <c r="F24" s="105"/>
      <c r="G24" s="105"/>
      <c r="H24" s="105"/>
      <c r="I24" s="105"/>
      <c r="J24" s="105"/>
      <c r="K24" s="105"/>
      <c r="L24" s="105"/>
      <c r="M24" s="105"/>
      <c r="N24" s="105"/>
      <c r="O24" s="1358"/>
      <c r="P24" s="614"/>
      <c r="Q24" s="643"/>
      <c r="R24" s="1551" t="s">
        <v>0</v>
      </c>
      <c r="S24" s="1991">
        <f ca="1">IF(S9="","?",S9-T22+S8)</f>
        <v>45923.763888888883</v>
      </c>
      <c r="T24" s="1991"/>
      <c r="U24" s="1991"/>
      <c r="V24" s="607"/>
    </row>
    <row r="25" spans="1:22" ht="18.75">
      <c r="A25" s="607"/>
      <c r="B25" s="1379" t="s">
        <v>1035</v>
      </c>
      <c r="C25" s="898" t="s">
        <v>0</v>
      </c>
      <c r="D25" s="535"/>
      <c r="E25" s="536"/>
      <c r="F25" s="536"/>
      <c r="G25" s="536"/>
      <c r="H25" s="536"/>
      <c r="I25" s="536"/>
      <c r="J25" s="536"/>
      <c r="K25" s="1989" t="str">
        <f ca="1">TEXT(S24,"dddd")</f>
        <v>tirsdag</v>
      </c>
      <c r="L25" s="1989"/>
      <c r="M25" s="1992">
        <f ca="1">IF($S$8="","",S24)</f>
        <v>45923.763888888883</v>
      </c>
      <c r="N25" s="1992"/>
      <c r="O25" s="1550"/>
      <c r="P25" s="1549"/>
      <c r="Q25" s="643"/>
      <c r="R25" s="1551" t="s">
        <v>4</v>
      </c>
      <c r="S25" s="1991">
        <f ca="1">IF(S9="","?",S24+SUM(T11:T14))</f>
        <v>45924.805555555547</v>
      </c>
      <c r="T25" s="1991"/>
      <c r="U25" s="1991"/>
      <c r="V25" s="607"/>
    </row>
    <row r="26" spans="1:22" ht="15.75">
      <c r="A26" s="607"/>
      <c r="B26" s="1057"/>
      <c r="C26" s="902"/>
      <c r="D26" s="902"/>
      <c r="E26" s="425"/>
      <c r="F26" s="425"/>
      <c r="G26" s="425"/>
      <c r="H26" s="425"/>
      <c r="I26" s="425"/>
      <c r="J26" s="425"/>
      <c r="K26" s="425"/>
      <c r="L26" s="425"/>
      <c r="M26" s="425"/>
      <c r="N26" s="425"/>
      <c r="O26" s="758"/>
      <c r="P26" s="607"/>
      <c r="Q26" s="643"/>
      <c r="R26" s="1551" t="str">
        <f ca="1">"Dag "&amp;IF(S9="","?",_xlfn.DAYS(S26,S24)+1)</f>
        <v>Dag 4</v>
      </c>
      <c r="S26" s="1991">
        <f ca="1">IF(S9="","?",S24+SUM(T11:T17))</f>
        <v>45926.604166666664</v>
      </c>
      <c r="T26" s="1991"/>
      <c r="U26" s="1991"/>
      <c r="V26" s="607"/>
    </row>
    <row r="27" spans="1:22" ht="18">
      <c r="A27" s="607"/>
      <c r="B27" s="1398" t="s">
        <v>1034</v>
      </c>
      <c r="C27" s="708">
        <v>1</v>
      </c>
      <c r="D27" s="425" t="s">
        <v>700</v>
      </c>
      <c r="E27" s="425"/>
      <c r="F27" s="425"/>
      <c r="G27" s="425"/>
      <c r="H27" s="425"/>
      <c r="I27" s="425"/>
      <c r="J27" s="425"/>
      <c r="K27" s="105"/>
      <c r="L27" s="1220" t="str">
        <f>ROUND(K19,0)&amp;" g. mel, "&amp;ROUND(K20,0)&amp;" g. vand"</f>
        <v>979 g. mel, 616 g. vand</v>
      </c>
      <c r="M27" s="859"/>
      <c r="N27" s="860"/>
      <c r="O27" s="758"/>
      <c r="P27" s="607"/>
      <c r="Q27" s="643"/>
      <c r="R27" s="622"/>
      <c r="S27" s="622"/>
      <c r="T27" s="620"/>
      <c r="U27" s="607"/>
      <c r="V27" s="607"/>
    </row>
    <row r="28" spans="1:22" ht="16.5" thickBot="1">
      <c r="A28" s="607"/>
      <c r="B28" s="1059"/>
      <c r="C28" s="105"/>
      <c r="D28" s="105"/>
      <c r="E28" s="105"/>
      <c r="F28" s="105"/>
      <c r="G28" s="105"/>
      <c r="H28" s="105"/>
      <c r="I28" s="105"/>
      <c r="J28" s="105"/>
      <c r="K28" s="105"/>
      <c r="L28" s="105"/>
      <c r="M28" s="105"/>
      <c r="N28" s="105"/>
      <c r="O28" s="758"/>
      <c r="P28" s="607"/>
      <c r="Q28" s="652"/>
      <c r="R28" s="886"/>
      <c r="S28" s="886"/>
      <c r="T28" s="886"/>
      <c r="U28" s="1540"/>
      <c r="V28" s="1540"/>
    </row>
    <row r="29" spans="1:22" ht="18">
      <c r="A29" s="607"/>
      <c r="B29" s="1398" t="s">
        <v>1034</v>
      </c>
      <c r="C29" s="708">
        <v>2</v>
      </c>
      <c r="D29" s="425" t="s">
        <v>832</v>
      </c>
      <c r="E29" s="425"/>
      <c r="F29" s="425"/>
      <c r="G29" s="425"/>
      <c r="H29" s="425"/>
      <c r="I29" s="425"/>
      <c r="J29" s="425"/>
      <c r="K29" s="861"/>
      <c r="L29" s="425"/>
      <c r="M29" s="425"/>
      <c r="N29" s="425"/>
      <c r="O29" s="758"/>
      <c r="P29" s="607"/>
      <c r="Q29" s="643"/>
      <c r="R29" s="620"/>
      <c r="S29" s="620"/>
      <c r="T29" s="620"/>
      <c r="U29" s="607"/>
      <c r="V29" s="607"/>
    </row>
    <row r="30" spans="1:22" ht="15.75">
      <c r="A30" s="607"/>
      <c r="B30" s="1059"/>
      <c r="C30" s="105"/>
      <c r="D30" s="105"/>
      <c r="E30" s="105"/>
      <c r="F30" s="105"/>
      <c r="G30" s="105"/>
      <c r="H30" s="105"/>
      <c r="I30" s="105"/>
      <c r="J30" s="105"/>
      <c r="K30" s="105"/>
      <c r="L30" s="105"/>
      <c r="M30" s="105"/>
      <c r="N30" s="105"/>
      <c r="O30" s="758"/>
      <c r="P30" s="607"/>
      <c r="Q30" s="643"/>
      <c r="R30" s="607"/>
      <c r="S30" s="607"/>
      <c r="T30" s="607"/>
      <c r="U30" s="607"/>
      <c r="V30" s="607"/>
    </row>
    <row r="31" spans="1:22" ht="18">
      <c r="A31" s="607"/>
      <c r="B31" s="1398" t="s">
        <v>1034</v>
      </c>
      <c r="C31" s="708">
        <v>3</v>
      </c>
      <c r="D31" s="425" t="s">
        <v>833</v>
      </c>
      <c r="E31" s="425"/>
      <c r="F31" s="425"/>
      <c r="G31" s="425"/>
      <c r="H31" s="425"/>
      <c r="I31" s="425"/>
      <c r="J31" s="425"/>
      <c r="K31" s="425"/>
      <c r="L31" s="1220" t="str">
        <f>ROUND(K21,0)&amp;" g. salt"</f>
        <v>24 g. salt</v>
      </c>
      <c r="M31" s="862"/>
      <c r="N31" s="863"/>
      <c r="O31" s="758"/>
      <c r="P31" s="607"/>
      <c r="Q31" s="643"/>
      <c r="R31" s="674" t="s">
        <v>358</v>
      </c>
      <c r="S31" s="616"/>
      <c r="T31" s="616"/>
      <c r="U31" s="607"/>
      <c r="V31" s="607"/>
    </row>
    <row r="32" spans="1:22" ht="15.75">
      <c r="A32" s="607"/>
      <c r="B32" s="1059"/>
      <c r="C32" s="105"/>
      <c r="D32" s="105"/>
      <c r="E32" s="105"/>
      <c r="F32" s="105"/>
      <c r="G32" s="105"/>
      <c r="H32" s="105"/>
      <c r="I32" s="105"/>
      <c r="J32" s="105"/>
      <c r="K32" s="105"/>
      <c r="L32" s="105"/>
      <c r="M32" s="105"/>
      <c r="N32" s="105"/>
      <c r="O32" s="758"/>
      <c r="P32" s="607"/>
      <c r="Q32" s="643"/>
      <c r="R32" s="610" t="s">
        <v>353</v>
      </c>
      <c r="S32" s="617"/>
      <c r="T32" s="617"/>
      <c r="U32" s="607"/>
      <c r="V32" s="607"/>
    </row>
    <row r="33" spans="1:22" ht="18">
      <c r="A33" s="607"/>
      <c r="B33" s="1398" t="s">
        <v>1034</v>
      </c>
      <c r="C33" s="708">
        <v>4</v>
      </c>
      <c r="D33" s="425" t="s">
        <v>30</v>
      </c>
      <c r="E33" s="425"/>
      <c r="F33" s="425"/>
      <c r="G33" s="425"/>
      <c r="H33" s="425"/>
      <c r="I33" s="425"/>
      <c r="J33" s="425"/>
      <c r="K33" s="425"/>
      <c r="L33" s="1220" t="str">
        <f>ROUND(K22,2)&amp;" g. "&amp;AB11</f>
        <v>0,49 g. frisk gær</v>
      </c>
      <c r="M33" s="864"/>
      <c r="N33" s="865"/>
      <c r="O33" s="758"/>
      <c r="P33" s="607"/>
      <c r="Q33" s="643"/>
      <c r="R33" s="610" t="s">
        <v>367</v>
      </c>
      <c r="S33" s="617"/>
      <c r="T33" s="617"/>
      <c r="U33" s="607"/>
      <c r="V33" s="607"/>
    </row>
    <row r="34" spans="1:22" ht="15.75">
      <c r="A34" s="607"/>
      <c r="B34" s="1059"/>
      <c r="C34" s="105"/>
      <c r="D34" s="105"/>
      <c r="E34" s="105"/>
      <c r="F34" s="105"/>
      <c r="G34" s="105"/>
      <c r="H34" s="105"/>
      <c r="I34" s="105"/>
      <c r="J34" s="105"/>
      <c r="K34" s="105"/>
      <c r="L34" s="105"/>
      <c r="M34" s="105"/>
      <c r="N34" s="105"/>
      <c r="O34" s="758"/>
      <c r="P34" s="607"/>
      <c r="Q34" s="643"/>
      <c r="R34" s="610" t="s">
        <v>359</v>
      </c>
      <c r="S34" s="607"/>
      <c r="T34" s="607"/>
      <c r="U34" s="607"/>
      <c r="V34" s="607"/>
    </row>
    <row r="35" spans="1:22" ht="18">
      <c r="A35" s="607"/>
      <c r="B35" s="1398" t="s">
        <v>1034</v>
      </c>
      <c r="C35" s="708">
        <v>5</v>
      </c>
      <c r="D35" s="425" t="s">
        <v>183</v>
      </c>
      <c r="E35" s="425"/>
      <c r="F35" s="425"/>
      <c r="G35" s="425"/>
      <c r="H35" s="425"/>
      <c r="I35" s="425"/>
      <c r="J35" s="425"/>
      <c r="K35" s="425"/>
      <c r="L35" s="425"/>
      <c r="M35" s="425"/>
      <c r="N35" s="425"/>
      <c r="O35" s="758"/>
      <c r="P35" s="607"/>
      <c r="Q35" s="643"/>
      <c r="R35" s="608" t="s">
        <v>360</v>
      </c>
      <c r="S35" s="607"/>
      <c r="T35" s="607"/>
      <c r="U35" s="607"/>
      <c r="V35" s="607"/>
    </row>
    <row r="36" spans="1:22" ht="15.75">
      <c r="A36" s="607"/>
      <c r="B36" s="1059"/>
      <c r="C36" s="105"/>
      <c r="D36" s="105"/>
      <c r="E36" s="105"/>
      <c r="F36" s="105"/>
      <c r="G36" s="105"/>
      <c r="H36" s="105"/>
      <c r="I36" s="105"/>
      <c r="J36" s="105"/>
      <c r="K36" s="105"/>
      <c r="L36" s="105"/>
      <c r="M36" s="105"/>
      <c r="N36" s="105"/>
      <c r="O36" s="758"/>
      <c r="P36" s="607"/>
      <c r="Q36" s="643"/>
      <c r="R36" s="610" t="s">
        <v>354</v>
      </c>
      <c r="S36" s="617"/>
      <c r="T36" s="617"/>
      <c r="U36" s="607"/>
      <c r="V36" s="607"/>
    </row>
    <row r="37" spans="1:22" ht="18">
      <c r="A37" s="607"/>
      <c r="B37" s="1398" t="s">
        <v>1034</v>
      </c>
      <c r="C37" s="708">
        <v>6</v>
      </c>
      <c r="D37" s="425" t="s">
        <v>31</v>
      </c>
      <c r="E37" s="425"/>
      <c r="F37" s="425"/>
      <c r="G37" s="425"/>
      <c r="H37" s="425"/>
      <c r="I37" s="425"/>
      <c r="J37" s="425"/>
      <c r="K37" s="425"/>
      <c r="L37" s="425"/>
      <c r="M37" s="425"/>
      <c r="N37" s="425"/>
      <c r="O37" s="758"/>
      <c r="P37" s="607"/>
      <c r="Q37" s="643"/>
      <c r="R37" s="610" t="s">
        <v>356</v>
      </c>
      <c r="S37" s="617"/>
      <c r="T37" s="617"/>
      <c r="U37" s="607"/>
      <c r="V37" s="607"/>
    </row>
    <row r="38" spans="1:22" ht="15.75">
      <c r="A38" s="607"/>
      <c r="B38" s="1059"/>
      <c r="C38" s="105"/>
      <c r="D38" s="105"/>
      <c r="E38" s="105"/>
      <c r="F38" s="105"/>
      <c r="G38" s="105"/>
      <c r="H38" s="105"/>
      <c r="I38" s="105"/>
      <c r="J38" s="105"/>
      <c r="K38" s="105"/>
      <c r="L38" s="105"/>
      <c r="M38" s="105"/>
      <c r="N38" s="105"/>
      <c r="O38" s="758"/>
      <c r="P38" s="607"/>
      <c r="Q38" s="643"/>
      <c r="R38" s="610"/>
      <c r="S38" s="617"/>
      <c r="T38" s="617"/>
      <c r="U38" s="607"/>
      <c r="V38" s="607"/>
    </row>
    <row r="39" spans="1:22" ht="18">
      <c r="A39" s="607"/>
      <c r="B39" s="1398" t="s">
        <v>1034</v>
      </c>
      <c r="C39" s="708">
        <v>7</v>
      </c>
      <c r="D39" s="425" t="s">
        <v>485</v>
      </c>
      <c r="E39" s="425"/>
      <c r="F39" s="425"/>
      <c r="G39" s="425"/>
      <c r="H39" s="425"/>
      <c r="I39" s="425"/>
      <c r="J39" s="425"/>
      <c r="K39" s="425"/>
      <c r="L39" s="425"/>
      <c r="M39" s="425"/>
      <c r="N39" s="425"/>
      <c r="O39" s="758"/>
      <c r="P39" s="607"/>
      <c r="Q39" s="643"/>
      <c r="R39" s="674" t="s">
        <v>361</v>
      </c>
      <c r="S39" s="618"/>
      <c r="T39" s="618"/>
      <c r="U39" s="607"/>
      <c r="V39" s="607"/>
    </row>
    <row r="40" spans="1:22" ht="15.75">
      <c r="A40" s="607"/>
      <c r="B40" s="1059"/>
      <c r="C40" s="105"/>
      <c r="D40" s="105"/>
      <c r="E40" s="105"/>
      <c r="F40" s="105"/>
      <c r="G40" s="105"/>
      <c r="H40" s="105"/>
      <c r="I40" s="105"/>
      <c r="J40" s="105"/>
      <c r="K40" s="105"/>
      <c r="L40" s="105"/>
      <c r="M40" s="105"/>
      <c r="N40" s="105"/>
      <c r="O40" s="758"/>
      <c r="P40" s="607"/>
      <c r="Q40" s="643"/>
      <c r="R40" s="610" t="s">
        <v>338</v>
      </c>
      <c r="S40" s="607"/>
      <c r="T40" s="192">
        <v>25</v>
      </c>
      <c r="U40" s="607"/>
      <c r="V40" s="607"/>
    </row>
    <row r="41" spans="1:22" ht="18">
      <c r="A41" s="607"/>
      <c r="B41" s="1398" t="s">
        <v>1034</v>
      </c>
      <c r="C41" s="708">
        <v>8</v>
      </c>
      <c r="D41" s="425" t="s">
        <v>179</v>
      </c>
      <c r="E41" s="425"/>
      <c r="F41" s="425"/>
      <c r="G41" s="425"/>
      <c r="H41" s="425"/>
      <c r="I41" s="425"/>
      <c r="J41" s="425"/>
      <c r="K41" s="425"/>
      <c r="L41" s="425"/>
      <c r="M41" s="425"/>
      <c r="N41" s="425"/>
      <c r="O41" s="758"/>
      <c r="P41" s="607"/>
      <c r="Q41" s="646"/>
      <c r="R41" s="645" t="s">
        <v>339</v>
      </c>
      <c r="S41" s="607"/>
      <c r="T41" s="190"/>
      <c r="U41" s="608"/>
      <c r="V41" s="607"/>
    </row>
    <row r="42" spans="1:22" ht="15.75">
      <c r="A42" s="607"/>
      <c r="B42" s="1059"/>
      <c r="C42" s="105"/>
      <c r="D42" s="105"/>
      <c r="E42" s="105"/>
      <c r="F42" s="105"/>
      <c r="G42" s="105"/>
      <c r="H42" s="105"/>
      <c r="I42" s="105"/>
      <c r="J42" s="105"/>
      <c r="K42" s="105"/>
      <c r="L42" s="105"/>
      <c r="M42" s="105"/>
      <c r="N42" s="105"/>
      <c r="O42" s="758"/>
      <c r="P42" s="607"/>
      <c r="Q42" s="646"/>
      <c r="R42" s="645" t="s">
        <v>340</v>
      </c>
      <c r="S42" s="607"/>
      <c r="T42" s="190">
        <v>5</v>
      </c>
      <c r="U42" s="608"/>
      <c r="V42" s="607"/>
    </row>
    <row r="43" spans="1:22" ht="18">
      <c r="A43" s="607"/>
      <c r="B43" s="1398" t="s">
        <v>1034</v>
      </c>
      <c r="C43" s="708">
        <v>9</v>
      </c>
      <c r="D43" s="425" t="s">
        <v>1210</v>
      </c>
      <c r="E43" s="425"/>
      <c r="F43" s="425"/>
      <c r="G43" s="425"/>
      <c r="H43" s="425"/>
      <c r="I43" s="425"/>
      <c r="J43" s="425"/>
      <c r="K43" s="425"/>
      <c r="L43" s="425"/>
      <c r="M43" s="425"/>
      <c r="N43" s="425"/>
      <c r="O43" s="758"/>
      <c r="P43" s="607"/>
      <c r="Q43" s="646"/>
      <c r="R43" s="612" t="s">
        <v>341</v>
      </c>
      <c r="S43" s="613"/>
      <c r="T43" s="191">
        <v>5</v>
      </c>
      <c r="U43" s="608"/>
      <c r="V43" s="607"/>
    </row>
    <row r="44" spans="1:22" ht="15.75">
      <c r="A44" s="607"/>
      <c r="B44" s="1059"/>
      <c r="C44" s="708"/>
      <c r="D44" s="425"/>
      <c r="E44" s="425"/>
      <c r="F44" s="425"/>
      <c r="G44" s="425"/>
      <c r="H44" s="425"/>
      <c r="I44" s="425"/>
      <c r="J44" s="425"/>
      <c r="K44" s="425"/>
      <c r="L44" s="425"/>
      <c r="M44" s="425"/>
      <c r="N44" s="425"/>
      <c r="O44" s="758"/>
      <c r="P44" s="607"/>
      <c r="Q44" s="646"/>
      <c r="R44" s="645" t="s">
        <v>342</v>
      </c>
      <c r="S44" s="607"/>
      <c r="T44" s="1553" t="str">
        <f>IF(OR(T40="",T41=""),"",(T40*2)-T41-T42-(T43*2)&amp;"°")</f>
        <v/>
      </c>
      <c r="U44" s="608"/>
      <c r="V44" s="607"/>
    </row>
    <row r="45" spans="1:22" ht="15.75">
      <c r="A45" s="607"/>
      <c r="B45" s="1059"/>
      <c r="C45" s="708"/>
      <c r="D45" s="425"/>
      <c r="E45" s="425"/>
      <c r="F45" s="425"/>
      <c r="G45" s="425"/>
      <c r="H45" s="425"/>
      <c r="I45" s="425"/>
      <c r="J45" s="425"/>
      <c r="K45" s="425"/>
      <c r="L45" s="425"/>
      <c r="M45" s="425"/>
      <c r="N45" s="425"/>
      <c r="O45" s="758"/>
      <c r="P45" s="607"/>
      <c r="Q45" s="646"/>
      <c r="R45" s="647" t="s">
        <v>343</v>
      </c>
      <c r="S45" s="648"/>
      <c r="T45" s="648"/>
      <c r="U45" s="608"/>
      <c r="V45" s="607"/>
    </row>
    <row r="46" spans="1:22" ht="15.75">
      <c r="A46" s="607"/>
      <c r="B46" s="1059"/>
      <c r="C46" s="708"/>
      <c r="D46" s="425"/>
      <c r="E46" s="425"/>
      <c r="F46" s="425"/>
      <c r="G46" s="425"/>
      <c r="H46" s="425"/>
      <c r="I46" s="425"/>
      <c r="J46" s="425"/>
      <c r="K46" s="425"/>
      <c r="L46" s="425"/>
      <c r="M46" s="425"/>
      <c r="N46" s="425"/>
      <c r="O46" s="758"/>
      <c r="P46" s="607"/>
      <c r="Q46" s="643"/>
      <c r="R46" s="610" t="s">
        <v>363</v>
      </c>
      <c r="S46" s="608"/>
      <c r="T46" s="608"/>
      <c r="U46" s="607"/>
      <c r="V46" s="607"/>
    </row>
    <row r="47" spans="1:22" ht="17.25">
      <c r="A47" s="607"/>
      <c r="B47" s="1439"/>
      <c r="C47" s="1440" t="s">
        <v>4</v>
      </c>
      <c r="D47" s="535"/>
      <c r="E47" s="536"/>
      <c r="F47" s="536"/>
      <c r="G47" s="536"/>
      <c r="H47" s="536"/>
      <c r="I47" s="536"/>
      <c r="J47" s="536"/>
      <c r="K47" s="1989" t="str">
        <f ca="1">TEXT(S25,"dddd")</f>
        <v>onsdag</v>
      </c>
      <c r="L47" s="1989"/>
      <c r="M47" s="1992">
        <f ca="1">IF($S$8="","",S25)</f>
        <v>45924.805555555547</v>
      </c>
      <c r="N47" s="1992"/>
      <c r="O47" s="758"/>
      <c r="P47" s="607"/>
      <c r="Q47" s="643"/>
      <c r="R47" s="651" t="s">
        <v>365</v>
      </c>
      <c r="S47" s="608"/>
      <c r="T47" s="608"/>
      <c r="U47" s="607"/>
      <c r="V47" s="607"/>
    </row>
    <row r="48" spans="1:22" ht="15.75">
      <c r="A48" s="607"/>
      <c r="B48" s="1059"/>
      <c r="C48" s="1359"/>
      <c r="D48" s="902"/>
      <c r="E48" s="425"/>
      <c r="F48" s="425"/>
      <c r="G48" s="425"/>
      <c r="H48" s="425"/>
      <c r="I48" s="425"/>
      <c r="J48" s="425"/>
      <c r="K48" s="425"/>
      <c r="L48" s="425"/>
      <c r="M48" s="425"/>
      <c r="N48" s="425"/>
      <c r="O48" s="758"/>
      <c r="P48" s="607"/>
      <c r="Q48" s="643"/>
      <c r="R48" s="607"/>
      <c r="S48" s="607"/>
      <c r="T48" s="607"/>
      <c r="U48" s="607"/>
      <c r="V48" s="607"/>
    </row>
    <row r="49" spans="1:22" ht="18">
      <c r="A49" s="607"/>
      <c r="B49" s="1398" t="s">
        <v>1034</v>
      </c>
      <c r="C49" s="708">
        <v>10</v>
      </c>
      <c r="D49" s="425" t="str">
        <f>"Del dejen i "&amp;H7&amp;" klumper af ca. "&amp;ROUND(H8,0)&amp;" g."</f>
        <v>Del dejen i 6 klumper af ca. 270 g.</v>
      </c>
      <c r="E49" s="425"/>
      <c r="F49" s="425"/>
      <c r="G49" s="425"/>
      <c r="H49" s="425"/>
      <c r="I49" s="425"/>
      <c r="J49" s="425"/>
      <c r="K49" s="425"/>
      <c r="L49" s="425"/>
      <c r="M49" s="425"/>
      <c r="N49" s="425"/>
      <c r="O49" s="758"/>
      <c r="P49" s="607"/>
      <c r="Q49" s="643"/>
      <c r="R49" s="607"/>
      <c r="S49" s="607"/>
      <c r="T49" s="607"/>
      <c r="U49" s="607"/>
      <c r="V49" s="607"/>
    </row>
    <row r="50" spans="1:22" ht="15.75">
      <c r="A50" s="607"/>
      <c r="B50" s="1059"/>
      <c r="C50" s="105"/>
      <c r="D50" s="105"/>
      <c r="E50" s="105"/>
      <c r="F50" s="105"/>
      <c r="G50" s="105"/>
      <c r="H50" s="105"/>
      <c r="I50" s="105"/>
      <c r="J50" s="105"/>
      <c r="K50" s="105"/>
      <c r="L50" s="105"/>
      <c r="M50" s="105"/>
      <c r="N50" s="105"/>
      <c r="O50" s="758"/>
      <c r="P50" s="607"/>
      <c r="Q50" s="643"/>
      <c r="R50" s="607"/>
      <c r="S50" s="607"/>
      <c r="T50" s="607"/>
      <c r="U50" s="607"/>
      <c r="V50" s="607"/>
    </row>
    <row r="51" spans="1:22" ht="18">
      <c r="A51" s="607"/>
      <c r="B51" s="1398" t="s">
        <v>1034</v>
      </c>
      <c r="C51" s="708">
        <v>11</v>
      </c>
      <c r="D51" s="425" t="s">
        <v>210</v>
      </c>
      <c r="E51" s="425"/>
      <c r="F51" s="425"/>
      <c r="G51" s="425"/>
      <c r="H51" s="425"/>
      <c r="I51" s="425"/>
      <c r="J51" s="425"/>
      <c r="K51" s="425"/>
      <c r="L51" s="425"/>
      <c r="M51" s="425"/>
      <c r="N51" s="425"/>
      <c r="O51" s="758"/>
      <c r="P51" s="607"/>
      <c r="Q51" s="643"/>
      <c r="R51" s="607"/>
      <c r="S51" s="607"/>
      <c r="T51" s="607"/>
      <c r="U51" s="607"/>
      <c r="V51" s="607"/>
    </row>
    <row r="52" spans="1:22" ht="15.75">
      <c r="A52" s="607"/>
      <c r="B52" s="1059"/>
      <c r="C52" s="425"/>
      <c r="D52" s="425" t="s">
        <v>24</v>
      </c>
      <c r="E52" s="425"/>
      <c r="F52" s="425"/>
      <c r="G52" s="425"/>
      <c r="H52" s="425"/>
      <c r="I52" s="425"/>
      <c r="J52" s="425"/>
      <c r="K52" s="425"/>
      <c r="L52" s="425"/>
      <c r="M52" s="425"/>
      <c r="N52" s="425"/>
      <c r="O52" s="758"/>
      <c r="P52" s="607"/>
      <c r="Q52" s="643"/>
      <c r="R52" s="607"/>
      <c r="S52" s="607"/>
      <c r="T52" s="607"/>
      <c r="U52" s="607"/>
      <c r="V52" s="607"/>
    </row>
    <row r="53" spans="1:22" ht="15.75">
      <c r="A53" s="607"/>
      <c r="B53" s="1059"/>
      <c r="C53" s="105"/>
      <c r="D53" s="105"/>
      <c r="E53" s="105"/>
      <c r="F53" s="105"/>
      <c r="G53" s="105"/>
      <c r="H53" s="105"/>
      <c r="I53" s="105"/>
      <c r="J53" s="105"/>
      <c r="K53" s="105"/>
      <c r="L53" s="105"/>
      <c r="M53" s="105"/>
      <c r="N53" s="105"/>
      <c r="O53" s="758"/>
      <c r="P53" s="607"/>
      <c r="Q53" s="643"/>
      <c r="R53" s="607"/>
      <c r="S53" s="607"/>
      <c r="T53" s="607"/>
      <c r="U53" s="607"/>
      <c r="V53" s="607"/>
    </row>
    <row r="54" spans="1:22" ht="18">
      <c r="A54" s="607"/>
      <c r="B54" s="1398" t="s">
        <v>1034</v>
      </c>
      <c r="C54" s="708">
        <v>12</v>
      </c>
      <c r="D54" s="425" t="s">
        <v>834</v>
      </c>
      <c r="E54" s="425"/>
      <c r="F54" s="425"/>
      <c r="G54" s="425"/>
      <c r="H54" s="425"/>
      <c r="I54" s="425"/>
      <c r="J54" s="425"/>
      <c r="K54" s="425"/>
      <c r="L54" s="425"/>
      <c r="M54" s="425"/>
      <c r="N54" s="425"/>
      <c r="O54" s="758"/>
      <c r="P54" s="607"/>
      <c r="Q54" s="643"/>
      <c r="R54" s="607"/>
      <c r="S54" s="607"/>
      <c r="T54" s="607"/>
      <c r="U54" s="607"/>
      <c r="V54" s="607"/>
    </row>
    <row r="55" spans="1:22" ht="15.75">
      <c r="A55" s="607"/>
      <c r="B55" s="1059"/>
      <c r="C55" s="105"/>
      <c r="D55" s="105"/>
      <c r="E55" s="105"/>
      <c r="F55" s="105"/>
      <c r="G55" s="105"/>
      <c r="H55" s="105"/>
      <c r="I55" s="105"/>
      <c r="J55" s="105"/>
      <c r="K55" s="105"/>
      <c r="L55" s="105"/>
      <c r="M55" s="105"/>
      <c r="N55" s="105"/>
      <c r="O55" s="758"/>
      <c r="P55" s="607"/>
      <c r="Q55" s="643"/>
      <c r="R55" s="607"/>
      <c r="S55" s="607"/>
      <c r="T55" s="607"/>
      <c r="U55" s="607"/>
      <c r="V55" s="607"/>
    </row>
    <row r="56" spans="1:22" ht="18">
      <c r="A56" s="607"/>
      <c r="B56" s="1398" t="s">
        <v>1034</v>
      </c>
      <c r="C56" s="708">
        <v>13</v>
      </c>
      <c r="D56" s="425" t="str">
        <f>IF(S8="","* Kom hævekassen på køl i 24-48 timer.","Kom hævekassen på køl i ca. "&amp;TEXT(T17,"[tt]")&amp;" timer (mellem 24-48 timer).")</f>
        <v>Kom hævekassen på køl i ca. 43 timer (mellem 24-48 timer).</v>
      </c>
      <c r="E56" s="425"/>
      <c r="F56" s="425"/>
      <c r="G56" s="425"/>
      <c r="H56" s="425"/>
      <c r="I56" s="425"/>
      <c r="J56" s="425"/>
      <c r="K56" s="425"/>
      <c r="L56" s="425"/>
      <c r="M56" s="425"/>
      <c r="N56" s="425"/>
      <c r="O56" s="758"/>
      <c r="P56" s="607"/>
      <c r="Q56" s="643"/>
      <c r="R56" s="607"/>
      <c r="S56" s="607"/>
      <c r="T56" s="607"/>
      <c r="U56" s="607"/>
      <c r="V56" s="607"/>
    </row>
    <row r="57" spans="1:22" ht="15.75">
      <c r="A57" s="607"/>
      <c r="B57" s="1059"/>
      <c r="C57" s="425"/>
      <c r="D57" s="425"/>
      <c r="E57" s="425"/>
      <c r="F57" s="425"/>
      <c r="G57" s="425"/>
      <c r="H57" s="425"/>
      <c r="I57" s="425"/>
      <c r="J57" s="425"/>
      <c r="K57" s="425"/>
      <c r="L57" s="425"/>
      <c r="M57" s="425"/>
      <c r="N57" s="425"/>
      <c r="O57" s="6"/>
      <c r="P57" s="607"/>
      <c r="Q57" s="643"/>
      <c r="R57" s="607"/>
      <c r="S57" s="607"/>
      <c r="T57" s="607"/>
      <c r="U57" s="607"/>
      <c r="V57" s="607"/>
    </row>
    <row r="58" spans="1:22" ht="15.75">
      <c r="A58" s="607"/>
      <c r="B58" s="1059"/>
      <c r="C58" s="425"/>
      <c r="D58" s="425"/>
      <c r="E58" s="425"/>
      <c r="F58" s="425"/>
      <c r="G58" s="425"/>
      <c r="H58" s="425"/>
      <c r="I58" s="425"/>
      <c r="J58" s="425"/>
      <c r="K58" s="425"/>
      <c r="L58" s="425"/>
      <c r="M58" s="425"/>
      <c r="N58" s="425"/>
      <c r="O58" s="6"/>
      <c r="P58" s="607"/>
      <c r="Q58" s="643"/>
      <c r="R58" s="607"/>
      <c r="S58" s="607"/>
      <c r="T58" s="607"/>
      <c r="U58" s="607"/>
      <c r="V58" s="607"/>
    </row>
    <row r="59" spans="1:22" ht="15.75">
      <c r="A59" s="607"/>
      <c r="B59" s="1059"/>
      <c r="C59" s="425"/>
      <c r="D59" s="425"/>
      <c r="E59" s="425"/>
      <c r="F59" s="425"/>
      <c r="G59" s="425"/>
      <c r="H59" s="425"/>
      <c r="I59" s="425"/>
      <c r="J59" s="425"/>
      <c r="K59" s="425"/>
      <c r="L59" s="425"/>
      <c r="M59" s="425"/>
      <c r="N59" s="425"/>
      <c r="O59" s="6"/>
      <c r="P59" s="607"/>
      <c r="Q59" s="643"/>
      <c r="R59" s="607"/>
      <c r="S59" s="607"/>
      <c r="T59" s="607"/>
      <c r="U59" s="607"/>
      <c r="V59" s="607"/>
    </row>
    <row r="60" spans="1:22" ht="17.25">
      <c r="A60" s="607"/>
      <c r="B60" s="1439"/>
      <c r="C60" s="898" t="str">
        <f>IF(T9="","Dag 4",R26)</f>
        <v>Dag 4</v>
      </c>
      <c r="D60" s="535"/>
      <c r="E60" s="536"/>
      <c r="F60" s="536"/>
      <c r="G60" s="536"/>
      <c r="H60" s="536"/>
      <c r="I60" s="536"/>
      <c r="J60" s="536"/>
      <c r="K60" s="1989" t="str">
        <f ca="1">TEXT(S26,"dddd")</f>
        <v>fredag</v>
      </c>
      <c r="L60" s="1989"/>
      <c r="M60" s="1992">
        <f ca="1">IF($S$9="","",S26)</f>
        <v>45926.604166666664</v>
      </c>
      <c r="N60" s="1992"/>
      <c r="O60" s="6"/>
      <c r="P60" s="607"/>
      <c r="Q60" s="643"/>
      <c r="R60" s="607"/>
      <c r="S60" s="607"/>
      <c r="T60" s="607"/>
      <c r="U60" s="607"/>
      <c r="V60" s="607"/>
    </row>
    <row r="61" spans="1:22" ht="15.75">
      <c r="A61" s="607"/>
      <c r="B61" s="1059"/>
      <c r="C61" s="902"/>
      <c r="D61" s="902"/>
      <c r="E61" s="425"/>
      <c r="F61" s="425"/>
      <c r="G61" s="425"/>
      <c r="H61" s="425"/>
      <c r="I61" s="425"/>
      <c r="J61" s="425"/>
      <c r="K61" s="425"/>
      <c r="L61" s="425"/>
      <c r="M61" s="425"/>
      <c r="N61" s="425"/>
      <c r="O61" s="6"/>
      <c r="P61" s="607"/>
      <c r="Q61" s="643"/>
      <c r="R61" s="607"/>
      <c r="S61" s="607"/>
      <c r="T61" s="607"/>
      <c r="U61" s="607"/>
      <c r="V61" s="607"/>
    </row>
    <row r="62" spans="1:22" ht="18">
      <c r="A62" s="607"/>
      <c r="B62" s="1398" t="s">
        <v>1034</v>
      </c>
      <c r="C62" s="708">
        <v>14</v>
      </c>
      <c r="D62" s="425" t="str">
        <f>IF(T9="","Tag dejen ud af køl 3-4 timer før brug - så tempererer dejen og bliver nemmere at arbejde med.","Tag dejen af køl og lad den tempererer. Det gør den nemmere at arbejde med.")</f>
        <v>Tag dejen ud af køl 3-4 timer før brug - så tempererer dejen og bliver nemmere at arbejde med.</v>
      </c>
      <c r="E62" s="425"/>
      <c r="F62" s="425"/>
      <c r="G62" s="425"/>
      <c r="H62" s="425"/>
      <c r="I62" s="425"/>
      <c r="J62" s="425"/>
      <c r="K62" s="425"/>
      <c r="L62" s="425"/>
      <c r="M62" s="425"/>
      <c r="N62" s="425"/>
      <c r="O62" s="6"/>
      <c r="P62" s="607"/>
      <c r="Q62" s="643"/>
      <c r="R62" s="607"/>
      <c r="S62" s="607"/>
      <c r="T62" s="607"/>
      <c r="U62" s="607"/>
      <c r="V62" s="607"/>
    </row>
    <row r="63" spans="1:22" ht="15.75">
      <c r="A63" s="607"/>
      <c r="B63" s="1059"/>
      <c r="C63" s="708"/>
      <c r="D63" s="425"/>
      <c r="E63" s="425"/>
      <c r="F63" s="425"/>
      <c r="G63" s="425"/>
      <c r="H63" s="425"/>
      <c r="I63" s="425"/>
      <c r="J63" s="425"/>
      <c r="K63" s="425"/>
      <c r="L63" s="425"/>
      <c r="M63" s="425"/>
      <c r="N63" s="425"/>
      <c r="O63" s="6"/>
      <c r="P63" s="607"/>
      <c r="Q63" s="643"/>
      <c r="R63" s="607"/>
      <c r="S63" s="607"/>
      <c r="T63" s="607"/>
      <c r="U63" s="607"/>
      <c r="V63" s="607"/>
    </row>
    <row r="64" spans="1:22">
      <c r="A64" s="607"/>
      <c r="B64" s="2"/>
      <c r="C64" s="3"/>
      <c r="D64" s="3"/>
      <c r="E64" s="3"/>
      <c r="F64" s="3"/>
      <c r="G64" s="3"/>
      <c r="H64" s="3"/>
      <c r="I64" s="3"/>
      <c r="J64" s="3"/>
      <c r="K64" s="82"/>
      <c r="L64" s="760"/>
      <c r="M64" s="760"/>
      <c r="N64" s="760" t="s">
        <v>523</v>
      </c>
      <c r="O64" s="761"/>
      <c r="P64" s="607"/>
      <c r="Q64" s="643"/>
      <c r="R64" s="607"/>
      <c r="S64" s="607"/>
      <c r="T64" s="607"/>
      <c r="U64" s="607"/>
      <c r="V64" s="607"/>
    </row>
    <row r="65" spans="1:22">
      <c r="A65" s="607"/>
      <c r="B65" s="607"/>
      <c r="C65" s="607"/>
      <c r="D65" s="607"/>
      <c r="E65" s="607"/>
      <c r="F65" s="607"/>
      <c r="G65" s="607"/>
      <c r="H65" s="607"/>
      <c r="I65" s="607"/>
      <c r="J65" s="607"/>
      <c r="K65" s="607"/>
      <c r="L65" s="607"/>
      <c r="M65" s="607"/>
      <c r="N65" s="607"/>
      <c r="O65" s="607"/>
      <c r="P65" s="607"/>
      <c r="Q65" s="607"/>
      <c r="R65" s="607"/>
      <c r="S65" s="607"/>
      <c r="T65" s="607"/>
      <c r="U65" s="607"/>
      <c r="V65" s="607"/>
    </row>
  </sheetData>
  <sheetProtection algorithmName="SHA-512" hashValue="p5tgDJy5EXsSSJ5eXcVPlibH/CxpZ4vL0CcUg+eImBIIvz6H+nubJYxkSGQ4XTCfHwvA1jwv8XSzbfPoaw0FiA==" saltValue="cDrf9kBgTU3QGjDQ0rq54w==" spinCount="100000" sheet="1" objects="1" scenarios="1" selectLockedCells="1"/>
  <mergeCells count="22">
    <mergeCell ref="M60:N60"/>
    <mergeCell ref="K60:L60"/>
    <mergeCell ref="Q5:V6"/>
    <mergeCell ref="C2:J3"/>
    <mergeCell ref="I9:I10"/>
    <mergeCell ref="B6:D6"/>
    <mergeCell ref="L10:M10"/>
    <mergeCell ref="T7:V7"/>
    <mergeCell ref="T8:V8"/>
    <mergeCell ref="J17:N17"/>
    <mergeCell ref="J16:N16"/>
    <mergeCell ref="C13:H15"/>
    <mergeCell ref="K6:N7"/>
    <mergeCell ref="M25:N25"/>
    <mergeCell ref="K25:L25"/>
    <mergeCell ref="M47:N47"/>
    <mergeCell ref="K47:L47"/>
    <mergeCell ref="U11:V11"/>
    <mergeCell ref="U16:V16"/>
    <mergeCell ref="S24:U24"/>
    <mergeCell ref="S25:U25"/>
    <mergeCell ref="S26:U26"/>
  </mergeCells>
  <phoneticPr fontId="192" type="noConversion"/>
  <dataValidations count="4">
    <dataValidation allowBlank="1" showInputMessage="1" showErrorMessage="1" promptTitle="Anbefaling" prompt="24-27°_x000a_Dejtemperaturen har meget stor betydning for det endelieg resultat." sqref="T40" xr:uid="{D508DE78-A70C-48DB-810F-9B829FD68AC1}"/>
    <dataValidation type="list" allowBlank="1" sqref="S8" xr:uid="{C90C81E5-3004-4178-B96A-A715D83B43BF}">
      <formula1>"11:30,12:00,12:30,13:00,17:00,17:30,18:00,18:30,19:00,19:30"</formula1>
    </dataValidation>
    <dataValidation type="list" allowBlank="1" showInputMessage="1" showErrorMessage="1" sqref="L10:M10" xr:uid="{69DC4221-C496-48AF-A626-EE0FFB889CBE}">
      <formula1>$AA$7:$AA$9</formula1>
    </dataValidation>
    <dataValidation type="list" allowBlank="1" showErrorMessage="1" sqref="S7" xr:uid="{DEF223FE-1533-48C4-84F8-0A2E2D1ED8D5}">
      <formula1>"Mandag,Tirsdag,Onsdag,Torsdag,Fredag,Lørdag,Søndag"</formula1>
    </dataValidation>
  </dataValidations>
  <pageMargins left="0.25" right="0.25" top="0.75" bottom="0.75" header="0.3" footer="0.3"/>
  <pageSetup paperSize="9" scale="86"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0CCCB-E032-4E85-9DC3-7EF958CF1CB9}">
  <sheetPr codeName="Ark27">
    <tabColor theme="0"/>
    <pageSetUpPr fitToPage="1"/>
  </sheetPr>
  <dimension ref="A1:AC64"/>
  <sheetViews>
    <sheetView showGridLines="0" showRowColHeaders="0" zoomScaleNormal="100" workbookViewId="0">
      <pane ySplit="4" topLeftCell="A5" activePane="bottomLeft" state="frozen"/>
      <selection activeCell="H8" sqref="H8"/>
      <selection pane="bottomLeft" activeCell="F7" sqref="F7"/>
    </sheetView>
  </sheetViews>
  <sheetFormatPr defaultColWidth="0" defaultRowHeight="15.75" customHeight="1" zeroHeight="1"/>
  <cols>
    <col min="1" max="1" width="2.42578125" customWidth="1"/>
    <col min="2" max="2" width="6.28515625" customWidth="1"/>
    <col min="3" max="3" width="8.140625" customWidth="1"/>
    <col min="4" max="4" width="22" customWidth="1"/>
    <col min="5" max="5" width="13.7109375" customWidth="1"/>
    <col min="6" max="6" width="8" customWidth="1"/>
    <col min="7" max="7" width="7.7109375" customWidth="1"/>
    <col min="8" max="8" width="3.28515625" customWidth="1"/>
    <col min="9" max="9" width="6.5703125" customWidth="1"/>
    <col min="10" max="10" width="15.85546875" customWidth="1"/>
    <col min="11" max="11" width="4.140625" customWidth="1"/>
    <col min="12" max="12" width="7" customWidth="1"/>
    <col min="13" max="13" width="26.140625" style="1" customWidth="1"/>
    <col min="14" max="14" width="3.28515625" customWidth="1"/>
    <col min="15" max="15" width="3" customWidth="1"/>
    <col min="16" max="16" width="6.28515625" customWidth="1"/>
    <col min="17" max="17" width="8" customWidth="1"/>
    <col min="18" max="18" width="17.85546875" customWidth="1"/>
    <col min="19" max="19" width="8.140625" customWidth="1"/>
    <col min="20" max="20" width="8" customWidth="1"/>
    <col min="21" max="21" width="3.5703125" customWidth="1"/>
    <col min="22" max="23" width="3" hidden="1" customWidth="1"/>
    <col min="24" max="24" width="15.5703125" hidden="1" customWidth="1"/>
    <col min="25" max="26" width="9.140625" hidden="1" customWidth="1"/>
    <col min="27" max="27" width="14.85546875" hidden="1" customWidth="1"/>
    <col min="28" max="16384" width="9.140625" hidden="1"/>
  </cols>
  <sheetData>
    <row r="1" spans="1:29" ht="15" customHeight="1">
      <c r="A1" s="660"/>
      <c r="B1" s="660"/>
      <c r="C1" s="660"/>
      <c r="D1" s="667"/>
      <c r="E1" s="661"/>
      <c r="F1" s="661"/>
      <c r="G1" s="661"/>
      <c r="H1" s="661"/>
      <c r="I1" s="661"/>
      <c r="J1" s="661"/>
      <c r="K1" s="660"/>
      <c r="L1" s="660"/>
      <c r="M1" s="668"/>
      <c r="N1" s="5"/>
      <c r="O1" s="5"/>
      <c r="P1" s="5"/>
      <c r="Q1" s="5"/>
      <c r="R1" s="5"/>
      <c r="S1" s="5"/>
      <c r="T1" s="5"/>
    </row>
    <row r="2" spans="1:29" ht="15" customHeight="1">
      <c r="A2" s="660"/>
      <c r="B2" s="660"/>
      <c r="C2" s="2002" t="s">
        <v>1049</v>
      </c>
      <c r="D2" s="2002"/>
      <c r="E2" s="2002"/>
      <c r="F2" s="2002"/>
      <c r="G2" s="2002"/>
      <c r="H2" s="2002"/>
      <c r="I2" s="2002"/>
      <c r="J2" s="2002"/>
      <c r="K2" s="660"/>
      <c r="L2" s="660"/>
      <c r="M2" s="668"/>
      <c r="N2" s="5"/>
      <c r="O2" s="5"/>
      <c r="P2" s="5"/>
      <c r="Q2" s="666"/>
      <c r="R2" s="5"/>
      <c r="S2" s="5"/>
      <c r="T2" s="5"/>
    </row>
    <row r="3" spans="1:29" ht="15" customHeight="1">
      <c r="A3" s="660"/>
      <c r="B3" s="660"/>
      <c r="C3" s="2002"/>
      <c r="D3" s="2002"/>
      <c r="E3" s="2002"/>
      <c r="F3" s="2002"/>
      <c r="G3" s="2002"/>
      <c r="H3" s="2002"/>
      <c r="I3" s="2002"/>
      <c r="J3" s="2002"/>
      <c r="K3" s="660"/>
      <c r="L3" s="671"/>
      <c r="M3" s="668"/>
      <c r="N3" s="5"/>
      <c r="O3" s="5"/>
      <c r="P3" s="5"/>
      <c r="Q3" s="5"/>
      <c r="R3" s="5"/>
      <c r="S3" s="5"/>
      <c r="T3" s="5"/>
    </row>
    <row r="4" spans="1:29" ht="15" customHeight="1" thickBot="1">
      <c r="A4" s="663"/>
      <c r="B4" s="663"/>
      <c r="C4" s="1436" t="s">
        <v>381</v>
      </c>
      <c r="D4" s="1437"/>
      <c r="E4" s="1437"/>
      <c r="F4" s="1437"/>
      <c r="G4" s="1437"/>
      <c r="H4" s="1437"/>
      <c r="I4" s="1437"/>
      <c r="J4" s="1438"/>
      <c r="K4" s="663"/>
      <c r="L4" s="663"/>
      <c r="M4" s="672"/>
      <c r="N4" s="657"/>
      <c r="O4" s="1274"/>
      <c r="P4" s="657"/>
      <c r="Q4" s="657"/>
      <c r="R4" s="657"/>
      <c r="S4" s="657"/>
      <c r="T4" s="657"/>
      <c r="U4" s="1326"/>
    </row>
    <row r="5" spans="1:29" ht="14.25" customHeight="1" thickTop="1" thickBot="1">
      <c r="A5" s="607"/>
      <c r="B5" s="608"/>
      <c r="C5" s="608"/>
      <c r="D5" s="729"/>
      <c r="E5" s="732"/>
      <c r="F5" s="733"/>
      <c r="G5" s="734"/>
      <c r="H5" s="2005"/>
      <c r="I5" s="2005"/>
      <c r="J5" s="608"/>
      <c r="K5" s="608"/>
      <c r="L5" s="735"/>
      <c r="M5" s="736"/>
      <c r="N5" s="608"/>
      <c r="O5" s="644"/>
      <c r="P5" s="1993" t="s">
        <v>1075</v>
      </c>
      <c r="Q5" s="1994"/>
      <c r="R5" s="1994"/>
      <c r="S5" s="1994"/>
      <c r="T5" s="1994"/>
      <c r="U5" s="1994"/>
      <c r="V5" s="1562"/>
    </row>
    <row r="6" spans="1:29" s="155" customFormat="1" ht="19.5" customHeight="1" thickTop="1">
      <c r="A6" s="737"/>
      <c r="B6" s="730"/>
      <c r="C6" s="740" t="s">
        <v>378</v>
      </c>
      <c r="D6" s="741"/>
      <c r="E6" s="738"/>
      <c r="F6" s="739"/>
      <c r="G6" s="649"/>
      <c r="H6" s="614"/>
      <c r="I6" s="869" t="s">
        <v>745</v>
      </c>
      <c r="J6" s="869"/>
      <c r="K6" s="712"/>
      <c r="L6" s="1766"/>
      <c r="M6" s="624"/>
      <c r="N6" s="1574"/>
      <c r="O6" s="1278"/>
      <c r="P6" s="1995"/>
      <c r="Q6" s="1996"/>
      <c r="R6" s="1996"/>
      <c r="S6" s="1996"/>
      <c r="T6" s="1996"/>
      <c r="U6" s="1996"/>
      <c r="V6" s="1562"/>
      <c r="W6" s="1259"/>
      <c r="X6" s="1074" t="s">
        <v>418</v>
      </c>
      <c r="Y6" s="1075"/>
      <c r="AA6" s="43" t="s">
        <v>299</v>
      </c>
      <c r="AB6" s="53" t="s">
        <v>809</v>
      </c>
      <c r="AC6" s="911" t="s">
        <v>756</v>
      </c>
    </row>
    <row r="7" spans="1:29">
      <c r="A7" s="607"/>
      <c r="B7" s="730"/>
      <c r="C7" s="1093">
        <v>1</v>
      </c>
      <c r="D7" s="743" t="s">
        <v>420</v>
      </c>
      <c r="E7" s="626" t="s">
        <v>372</v>
      </c>
      <c r="F7" s="347">
        <v>6</v>
      </c>
      <c r="G7" s="728" t="s">
        <v>386</v>
      </c>
      <c r="H7" s="607"/>
      <c r="I7" s="904"/>
      <c r="J7" s="812" t="s">
        <v>384</v>
      </c>
      <c r="K7" s="712"/>
      <c r="L7" s="728"/>
      <c r="M7" s="821"/>
      <c r="N7" s="819"/>
      <c r="O7" s="1283"/>
      <c r="P7" s="643"/>
      <c r="Q7" s="623" t="s">
        <v>1289</v>
      </c>
      <c r="R7" s="1845" t="s">
        <v>1288</v>
      </c>
      <c r="S7" s="1998"/>
      <c r="T7" s="1998"/>
      <c r="U7" s="1998"/>
      <c r="V7" s="1563"/>
      <c r="W7" s="1260"/>
      <c r="X7" s="1080">
        <f>1-X8</f>
        <v>1</v>
      </c>
      <c r="Y7" s="1081" t="s">
        <v>420</v>
      </c>
      <c r="AA7" s="44" t="s">
        <v>385</v>
      </c>
      <c r="AB7" s="45" t="s">
        <v>385</v>
      </c>
      <c r="AC7" s="912">
        <v>1</v>
      </c>
    </row>
    <row r="8" spans="1:29" ht="16.5" thickBot="1">
      <c r="A8" s="607"/>
      <c r="B8" s="731"/>
      <c r="C8" s="744">
        <v>0.64568764568764569</v>
      </c>
      <c r="D8" s="743" t="s">
        <v>1026</v>
      </c>
      <c r="E8" s="626" t="s">
        <v>373</v>
      </c>
      <c r="F8" s="348">
        <v>270</v>
      </c>
      <c r="G8" s="728" t="s">
        <v>369</v>
      </c>
      <c r="H8" s="607"/>
      <c r="I8" s="905"/>
      <c r="J8" s="813" t="s">
        <v>1026</v>
      </c>
      <c r="K8" s="712"/>
      <c r="L8" s="728"/>
      <c r="M8" s="821"/>
      <c r="N8" s="814"/>
      <c r="O8" s="1284"/>
      <c r="P8" s="643"/>
      <c r="Q8" s="623" t="s">
        <v>1060</v>
      </c>
      <c r="R8" s="1621">
        <v>0.72916666666666663</v>
      </c>
      <c r="S8" s="1998" t="s">
        <v>644</v>
      </c>
      <c r="T8" s="1998"/>
      <c r="U8" s="1998"/>
      <c r="V8" s="1563"/>
      <c r="W8" s="1261"/>
      <c r="X8" s="1077">
        <f>I7</f>
        <v>0</v>
      </c>
      <c r="Y8" s="1078" t="s">
        <v>384</v>
      </c>
      <c r="AA8" s="44" t="s">
        <v>810</v>
      </c>
      <c r="AB8" s="45" t="s">
        <v>376</v>
      </c>
      <c r="AC8" s="913">
        <v>4</v>
      </c>
    </row>
    <row r="9" spans="1:29" ht="16.5" thickTop="1">
      <c r="A9" s="607"/>
      <c r="B9" s="608"/>
      <c r="C9" s="745">
        <v>2.5641025641025599E-2</v>
      </c>
      <c r="D9" s="746" t="s">
        <v>375</v>
      </c>
      <c r="E9" s="2006" t="s">
        <v>382</v>
      </c>
      <c r="F9" s="2007">
        <f>F7*F8</f>
        <v>1620</v>
      </c>
      <c r="G9" s="2009" t="s">
        <v>369</v>
      </c>
      <c r="H9" s="607"/>
      <c r="I9" s="906"/>
      <c r="J9" s="813" t="s">
        <v>375</v>
      </c>
      <c r="K9" s="712"/>
      <c r="L9" s="728"/>
      <c r="M9" s="821"/>
      <c r="N9" s="814"/>
      <c r="O9" s="1284"/>
      <c r="P9" s="643"/>
      <c r="Q9" s="620"/>
      <c r="R9" s="1807">
        <f ca="1">TODAY()+MOD(MATCH(R7,{"Mandag";"Tirsdag";"Onsdag";"Torsdag";"Fredag";"Lørdag";"Søndag"},0)-WEEKDAY(TODAY(),2)+7,7)</f>
        <v>45921</v>
      </c>
      <c r="S9" s="868"/>
      <c r="T9" s="675"/>
      <c r="U9" s="614"/>
      <c r="V9" s="425"/>
      <c r="W9" s="1261"/>
      <c r="X9" s="284">
        <f>IF(I8="",C8,I8)</f>
        <v>0.64568764568764569</v>
      </c>
      <c r="Y9" s="285" t="s">
        <v>419</v>
      </c>
      <c r="AA9" s="44" t="s">
        <v>811</v>
      </c>
      <c r="AB9" s="45" t="s">
        <v>376</v>
      </c>
      <c r="AC9" s="913">
        <v>3</v>
      </c>
    </row>
    <row r="10" spans="1:29" ht="16.5" customHeight="1">
      <c r="A10" s="607"/>
      <c r="B10" s="608"/>
      <c r="C10" s="745">
        <v>1.5151515151515199E-3</v>
      </c>
      <c r="D10" s="746" t="s">
        <v>385</v>
      </c>
      <c r="E10" s="2006"/>
      <c r="F10" s="2008"/>
      <c r="G10" s="2009"/>
      <c r="H10" s="607"/>
      <c r="I10" s="907"/>
      <c r="J10" s="822" t="s">
        <v>385</v>
      </c>
      <c r="K10" s="2010">
        <f>IF(J10&lt;&gt;"tørgær",X11,IF(I10="",C10,""))</f>
        <v>1.5151515151515199E-3</v>
      </c>
      <c r="L10" s="2011"/>
      <c r="M10" s="643"/>
      <c r="N10" s="1575"/>
      <c r="O10" s="1576"/>
      <c r="P10" s="643"/>
      <c r="Q10" s="620"/>
      <c r="R10" s="614"/>
      <c r="S10" s="868"/>
      <c r="T10" s="675"/>
      <c r="U10" s="614"/>
      <c r="V10" s="425"/>
      <c r="W10" s="1262"/>
      <c r="X10" s="284">
        <f>IF(I9="",C9,I9)</f>
        <v>2.5641025641025599E-2</v>
      </c>
      <c r="Y10" s="286" t="s">
        <v>375</v>
      </c>
      <c r="AA10" s="44" t="s">
        <v>805</v>
      </c>
      <c r="AB10" s="45" t="s">
        <v>808</v>
      </c>
      <c r="AC10" s="914">
        <v>3</v>
      </c>
    </row>
    <row r="11" spans="1:29" ht="16.5" thickBot="1">
      <c r="A11" s="607"/>
      <c r="B11" s="607"/>
      <c r="C11" s="755">
        <v>0.1934731935</v>
      </c>
      <c r="D11" s="748" t="s">
        <v>388</v>
      </c>
      <c r="E11" s="817"/>
      <c r="F11" s="620"/>
      <c r="G11" s="607"/>
      <c r="H11" s="607"/>
      <c r="I11" s="681"/>
      <c r="J11" s="818"/>
      <c r="K11" s="607"/>
      <c r="L11" s="624"/>
      <c r="M11" s="623"/>
      <c r="N11" s="2003"/>
      <c r="O11" s="2004"/>
      <c r="P11" s="643"/>
      <c r="Q11" s="1546" t="s">
        <v>1089</v>
      </c>
      <c r="R11" s="1547"/>
      <c r="S11" s="1644">
        <v>3.472222222222222E-3</v>
      </c>
      <c r="T11" s="1990" t="s">
        <v>644</v>
      </c>
      <c r="U11" s="1990"/>
      <c r="V11" s="1564"/>
      <c r="W11" s="1263"/>
      <c r="X11" s="284">
        <f>IF(J10="tørgær",IF(I10="",C10,I10),IF(I10="",C10,I10)*AC11)</f>
        <v>1.5151515151515199E-3</v>
      </c>
      <c r="Y11" s="286" t="str">
        <f>AB11</f>
        <v>tørgær</v>
      </c>
      <c r="AA11" s="909" t="s">
        <v>764</v>
      </c>
      <c r="AB11" s="910" t="str">
        <f>VLOOKUP(J10,AA7:AB10,2,FALSE)</f>
        <v>tørgær</v>
      </c>
      <c r="AC11" s="921">
        <f>VLOOKUP(J10,AA7:AC10,3,FALSE)</f>
        <v>1</v>
      </c>
    </row>
    <row r="12" spans="1:29" ht="16.5" customHeight="1">
      <c r="A12" s="607"/>
      <c r="B12" s="607"/>
      <c r="C12" s="750"/>
      <c r="D12" s="751"/>
      <c r="E12" s="752"/>
      <c r="F12" s="620"/>
      <c r="G12" s="607"/>
      <c r="H12" s="753"/>
      <c r="I12" s="754"/>
      <c r="J12" s="820"/>
      <c r="K12" s="820"/>
      <c r="L12" s="820"/>
      <c r="M12" s="820"/>
      <c r="N12" s="820"/>
      <c r="O12" s="1276"/>
      <c r="P12" s="643"/>
      <c r="Q12" s="623" t="s">
        <v>1070</v>
      </c>
      <c r="R12" s="1544"/>
      <c r="S12" s="1561">
        <v>4.1666666666666664E-2</v>
      </c>
      <c r="T12" s="1990" t="s">
        <v>644</v>
      </c>
      <c r="U12" s="1990"/>
      <c r="V12" s="1564"/>
      <c r="W12" s="1264"/>
    </row>
    <row r="13" spans="1:29" ht="15" customHeight="1">
      <c r="A13" s="607"/>
      <c r="B13" s="1336"/>
      <c r="C13" s="1954" t="str">
        <f>C2</f>
        <v>Bagerkokkens poolish pizza</v>
      </c>
      <c r="D13" s="1954"/>
      <c r="E13" s="1954"/>
      <c r="F13" s="1954"/>
      <c r="G13" s="1337"/>
      <c r="H13" s="1337"/>
      <c r="I13" s="1337"/>
      <c r="J13" s="1337"/>
      <c r="K13" s="9"/>
      <c r="L13" s="9"/>
      <c r="M13" s="25"/>
      <c r="N13" s="10"/>
      <c r="O13" s="1277"/>
      <c r="P13" s="643"/>
      <c r="Q13" s="623" t="s">
        <v>1071</v>
      </c>
      <c r="R13" s="1544"/>
      <c r="S13" s="1579">
        <v>0.95833333333333337</v>
      </c>
      <c r="T13" s="1990" t="s">
        <v>644</v>
      </c>
      <c r="U13" s="1990"/>
      <c r="V13" s="5"/>
      <c r="W13" s="1265"/>
    </row>
    <row r="14" spans="1:29" ht="15" customHeight="1">
      <c r="A14" s="607"/>
      <c r="B14" s="1338"/>
      <c r="C14" s="1887"/>
      <c r="D14" s="1887"/>
      <c r="E14" s="1887"/>
      <c r="F14" s="1887"/>
      <c r="G14" s="1339"/>
      <c r="N14" s="6"/>
      <c r="O14" s="644"/>
      <c r="P14" s="643"/>
      <c r="Q14" s="620"/>
      <c r="R14" s="614"/>
      <c r="S14" s="868"/>
      <c r="T14" s="675"/>
      <c r="U14" s="614"/>
      <c r="V14" s="1564"/>
    </row>
    <row r="15" spans="1:29" ht="16.5" customHeight="1">
      <c r="A15" s="607"/>
      <c r="B15" s="7"/>
      <c r="C15" s="1887"/>
      <c r="D15" s="1887"/>
      <c r="E15" s="1887"/>
      <c r="F15" s="1887"/>
      <c r="G15" s="5"/>
      <c r="H15" s="5"/>
      <c r="I15" s="5"/>
      <c r="J15" s="5"/>
      <c r="K15" s="5"/>
      <c r="L15" s="5"/>
      <c r="M15" s="11"/>
      <c r="N15" s="6"/>
      <c r="O15" s="644"/>
      <c r="P15" s="643"/>
      <c r="Q15" s="1546" t="s">
        <v>1090</v>
      </c>
      <c r="R15" s="1547"/>
      <c r="S15" s="1644">
        <v>1.7361111111111112E-2</v>
      </c>
      <c r="T15" s="1990" t="s">
        <v>644</v>
      </c>
      <c r="U15" s="1990"/>
      <c r="V15" s="1564"/>
    </row>
    <row r="16" spans="1:29" ht="15.75" customHeight="1">
      <c r="A16" s="607"/>
      <c r="B16" s="1327" t="s">
        <v>746</v>
      </c>
      <c r="C16" s="5" t="str">
        <f>IF(AB11="tørgær","Tørgæren arbejder bedst i poolish når vandet er 25-27°.","Frisk gær kan opløses i koldt eller lunkent vand.")</f>
        <v>Tørgæren arbejder bedst i poolish når vandet er 25-27°.</v>
      </c>
      <c r="E16" s="5"/>
      <c r="F16" s="5"/>
      <c r="G16" s="5"/>
      <c r="H16" s="1919" t="s">
        <v>1050</v>
      </c>
      <c r="I16" s="1920"/>
      <c r="J16" s="1920"/>
      <c r="K16" s="1920"/>
      <c r="L16" s="1920"/>
      <c r="M16" s="1921"/>
      <c r="N16" s="6"/>
      <c r="O16" s="644"/>
      <c r="P16" s="643"/>
      <c r="Q16" s="623" t="s">
        <v>1062</v>
      </c>
      <c r="R16" s="1544"/>
      <c r="S16" s="1561">
        <v>4.1666666666666664E-2</v>
      </c>
      <c r="T16" s="813" t="s">
        <v>644</v>
      </c>
      <c r="U16" s="813"/>
      <c r="V16" s="1564"/>
    </row>
    <row r="17" spans="1:24" ht="15.75" customHeight="1">
      <c r="A17" s="607"/>
      <c r="B17" s="1327" t="s">
        <v>746</v>
      </c>
      <c r="C17" s="5" t="s">
        <v>750</v>
      </c>
      <c r="E17" s="5"/>
      <c r="F17" s="5"/>
      <c r="G17" s="5"/>
      <c r="H17" s="1916" t="str">
        <f>F7&amp;" pizzaer a "&amp;ROUND(F8,0)&amp;" g.  -   "&amp;ROUND(X9*100,0)&amp;"% hydrering"</f>
        <v>6 pizzaer a 270 g.  -   65% hydrering</v>
      </c>
      <c r="I17" s="1917"/>
      <c r="J17" s="1917"/>
      <c r="K17" s="1917"/>
      <c r="L17" s="1917"/>
      <c r="M17" s="1918"/>
      <c r="N17" s="6"/>
      <c r="O17" s="644"/>
      <c r="P17" s="643"/>
      <c r="Q17" s="623" t="s">
        <v>1061</v>
      </c>
      <c r="R17" s="1544"/>
      <c r="S17" s="1561">
        <v>6.9444444444444441E-3</v>
      </c>
      <c r="T17" s="813" t="s">
        <v>644</v>
      </c>
      <c r="U17" s="813"/>
      <c r="V17" s="5"/>
    </row>
    <row r="18" spans="1:24" ht="15.75" customHeight="1">
      <c r="A18" s="607"/>
      <c r="B18" s="7"/>
      <c r="C18" s="823" t="s">
        <v>749</v>
      </c>
      <c r="E18" s="5"/>
      <c r="F18" s="5"/>
      <c r="G18" s="5"/>
      <c r="H18" s="7"/>
      <c r="I18" s="1422" t="s">
        <v>199</v>
      </c>
      <c r="J18" s="1423"/>
      <c r="K18" s="425"/>
      <c r="L18" s="1424" t="s">
        <v>201</v>
      </c>
      <c r="M18" s="1425"/>
      <c r="N18" s="6"/>
      <c r="O18" s="644"/>
      <c r="P18" s="643"/>
      <c r="Q18" s="623" t="s">
        <v>1129</v>
      </c>
      <c r="R18" s="1544"/>
      <c r="S18" s="1579">
        <v>1</v>
      </c>
      <c r="T18" s="813" t="s">
        <v>644</v>
      </c>
      <c r="U18" s="607"/>
      <c r="V18" s="1564"/>
    </row>
    <row r="19" spans="1:24" ht="15" customHeight="1">
      <c r="A19" s="607"/>
      <c r="B19" s="1327" t="s">
        <v>746</v>
      </c>
      <c r="C19" s="5" t="s">
        <v>759</v>
      </c>
      <c r="E19" s="5"/>
      <c r="F19" s="5"/>
      <c r="G19" s="5"/>
      <c r="H19" s="7"/>
      <c r="I19" s="1417">
        <f>(F9/((X7)+SUM(X9:X11)))*C11</f>
        <v>187.36152723281546</v>
      </c>
      <c r="J19" s="1426" t="s">
        <v>12</v>
      </c>
      <c r="K19" s="425"/>
      <c r="L19" s="1427">
        <f>F9*((X7)/SUM(X7:X11))-I19</f>
        <v>781.0492579688846</v>
      </c>
      <c r="M19" s="1428" t="s">
        <v>12</v>
      </c>
      <c r="N19" s="6"/>
      <c r="O19" s="644"/>
      <c r="P19" s="643"/>
      <c r="Q19" s="610"/>
      <c r="R19" s="610"/>
      <c r="S19" s="611"/>
      <c r="T19" s="607"/>
      <c r="U19" s="813"/>
      <c r="V19" s="1564"/>
    </row>
    <row r="20" spans="1:24" ht="15" customHeight="1">
      <c r="A20" s="607"/>
      <c r="B20" s="1327" t="s">
        <v>746</v>
      </c>
      <c r="C20" s="851" t="s">
        <v>747</v>
      </c>
      <c r="E20" s="5"/>
      <c r="F20" s="5"/>
      <c r="G20" s="5"/>
      <c r="H20" s="7"/>
      <c r="I20" s="1417">
        <f>I19*1</f>
        <v>187.36152723281546</v>
      </c>
      <c r="J20" s="1426" t="str">
        <f>IF(J10="frisk gær","g vand","g vand (25-27°)")</f>
        <v>g vand (25-27°)</v>
      </c>
      <c r="K20" s="425"/>
      <c r="L20" s="1427">
        <f>F9*((X9)/SUM(X7:X11))-I20</f>
        <v>437.92935272259456</v>
      </c>
      <c r="M20" s="1428" t="s">
        <v>444</v>
      </c>
      <c r="N20" s="6"/>
      <c r="O20" s="644"/>
      <c r="P20" s="643"/>
      <c r="Q20" s="1546" t="str">
        <f ca="1">"Dag "&amp;IF(R9="","?",_xlfn.DAYS(R27,R25)+1)</f>
        <v>Dag 3</v>
      </c>
      <c r="R20" s="1547"/>
      <c r="S20" s="1547"/>
      <c r="T20" s="813"/>
      <c r="U20" s="813"/>
      <c r="V20" s="5"/>
    </row>
    <row r="21" spans="1:24">
      <c r="A21" s="607"/>
      <c r="B21" s="7"/>
      <c r="C21" s="823" t="s">
        <v>844</v>
      </c>
      <c r="E21" s="5"/>
      <c r="F21" s="5"/>
      <c r="G21" s="5"/>
      <c r="H21" s="7"/>
      <c r="I21" s="1429">
        <f>(I19+L19+L23)*X11</f>
        <v>1.4672890684874289</v>
      </c>
      <c r="J21" s="1426" t="str">
        <f>"g "&amp;AB11</f>
        <v>g tørgær</v>
      </c>
      <c r="K21" s="425"/>
      <c r="L21" s="1427">
        <f>F9*(X10/SUM(X7:X11))</f>
        <v>24.831045774402526</v>
      </c>
      <c r="M21" s="1428" t="s">
        <v>29</v>
      </c>
      <c r="N21" s="6"/>
      <c r="O21" s="644"/>
      <c r="P21" s="643"/>
      <c r="Q21" s="623" t="s">
        <v>1072</v>
      </c>
      <c r="R21" s="620"/>
      <c r="S21" s="1579">
        <v>0</v>
      </c>
      <c r="T21" s="813" t="s">
        <v>644</v>
      </c>
      <c r="U21" s="607"/>
      <c r="V21" s="1565"/>
    </row>
    <row r="22" spans="1:24" ht="18.75" customHeight="1">
      <c r="A22" s="607"/>
      <c r="B22" s="1327" t="s">
        <v>746</v>
      </c>
      <c r="C22" s="851" t="s">
        <v>758</v>
      </c>
      <c r="E22" s="5"/>
      <c r="F22" s="5"/>
      <c r="G22" s="5"/>
      <c r="H22" s="7"/>
      <c r="I22" s="425"/>
      <c r="J22" s="425"/>
      <c r="K22" s="425"/>
      <c r="L22" s="1427">
        <f>SUM(I19:I21)</f>
        <v>376.19034353411837</v>
      </c>
      <c r="M22" s="1428" t="s">
        <v>200</v>
      </c>
      <c r="N22" s="6"/>
      <c r="O22" s="644"/>
      <c r="P22" s="643"/>
      <c r="Q22" s="610"/>
      <c r="R22" s="610"/>
      <c r="S22" s="611"/>
      <c r="T22" s="607"/>
      <c r="U22" s="1548"/>
      <c r="V22" s="1566"/>
    </row>
    <row r="23" spans="1:24" ht="16.5" thickBot="1">
      <c r="A23" s="607"/>
      <c r="B23" s="7"/>
      <c r="C23" s="11"/>
      <c r="D23" s="851"/>
      <c r="E23" s="5"/>
      <c r="F23" s="5"/>
      <c r="G23" s="5"/>
      <c r="H23" s="7"/>
      <c r="I23" s="1430"/>
      <c r="J23" s="1431"/>
      <c r="K23" s="425"/>
      <c r="L23" s="1434">
        <f>IF(F9*(X8/SUM(X7:X11))&gt;0,F9*(X8/SUM(X7:X11)),0)</f>
        <v>0</v>
      </c>
      <c r="M23" s="1435" t="str">
        <f>IF(AND(I7&gt;0,I7&lt;&gt;""),"g hvedesur","-")</f>
        <v>-</v>
      </c>
      <c r="N23" s="6"/>
      <c r="O23" s="644"/>
      <c r="P23" s="607"/>
      <c r="Q23" s="1569" t="s">
        <v>1073</v>
      </c>
      <c r="R23" s="1570"/>
      <c r="S23" s="1568">
        <f>SUM(S11:S21)</f>
        <v>2.0694444444444446</v>
      </c>
      <c r="T23" s="1571" t="s">
        <v>644</v>
      </c>
      <c r="U23" s="607"/>
      <c r="V23" s="5"/>
    </row>
    <row r="24" spans="1:24">
      <c r="A24" s="607"/>
      <c r="B24" s="7"/>
      <c r="C24" s="11"/>
      <c r="D24" s="823"/>
      <c r="E24" s="5"/>
      <c r="F24" s="5"/>
      <c r="G24" s="5"/>
      <c r="H24" s="7"/>
      <c r="I24" s="425"/>
      <c r="J24" s="1431"/>
      <c r="K24" s="425"/>
      <c r="L24" s="1432">
        <f>SUM(L19:L23)</f>
        <v>1620</v>
      </c>
      <c r="M24" s="1433" t="s">
        <v>839</v>
      </c>
      <c r="N24" s="6"/>
      <c r="O24" s="644"/>
      <c r="P24" s="607"/>
      <c r="Q24" s="607"/>
      <c r="R24" s="607"/>
      <c r="S24" s="607"/>
      <c r="T24" s="607"/>
      <c r="U24" s="607"/>
      <c r="V24" s="5"/>
    </row>
    <row r="25" spans="1:24">
      <c r="A25" s="607"/>
      <c r="B25" s="7"/>
      <c r="C25" s="11"/>
      <c r="D25" s="5"/>
      <c r="E25" s="5"/>
      <c r="F25" s="5"/>
      <c r="G25" s="5"/>
      <c r="H25" s="2"/>
      <c r="I25" s="3"/>
      <c r="J25" s="3"/>
      <c r="K25" s="3"/>
      <c r="L25" s="3"/>
      <c r="M25" s="1415"/>
      <c r="N25" s="6"/>
      <c r="O25" s="644"/>
      <c r="P25" s="607"/>
      <c r="Q25" s="1551" t="s">
        <v>0</v>
      </c>
      <c r="R25" s="1922">
        <f ca="1">IF(R9="","?",R9-S23+R8)</f>
        <v>45919.659722222219</v>
      </c>
      <c r="S25" s="1922"/>
      <c r="T25" s="1922"/>
      <c r="U25" s="607"/>
      <c r="V25" s="5"/>
    </row>
    <row r="26" spans="1:24">
      <c r="A26" s="607"/>
      <c r="B26" s="7"/>
      <c r="O26" s="644"/>
      <c r="P26" s="607"/>
      <c r="Q26" s="1551" t="s">
        <v>4</v>
      </c>
      <c r="R26" s="1922">
        <f ca="1">IF(R9="","?",R25+S11+S12+S13)</f>
        <v>45920.663194444438</v>
      </c>
      <c r="S26" s="1922"/>
      <c r="T26" s="1922"/>
      <c r="U26" s="607"/>
      <c r="V26" s="5"/>
    </row>
    <row r="27" spans="1:24" ht="19.5" thickBot="1">
      <c r="A27" s="607"/>
      <c r="B27" s="1379" t="s">
        <v>1035</v>
      </c>
      <c r="C27" s="898" t="s">
        <v>813</v>
      </c>
      <c r="D27" s="899"/>
      <c r="E27" s="1542"/>
      <c r="F27" s="900"/>
      <c r="G27" s="901"/>
      <c r="H27" s="901"/>
      <c r="I27" s="901"/>
      <c r="J27" s="536"/>
      <c r="K27" s="2014" t="str">
        <f ca="1">TEXT(R25,"dddd")</f>
        <v>fredag</v>
      </c>
      <c r="L27" s="2014"/>
      <c r="M27" s="1796">
        <f ca="1">IF($R$8="","",R25)</f>
        <v>45919.659722222219</v>
      </c>
      <c r="N27" s="6"/>
      <c r="O27" s="644"/>
      <c r="P27" s="607"/>
      <c r="Q27" s="1551" t="str">
        <f ca="1">"Dag "&amp;IF(R9="","?",_xlfn.DAYS(R27,R25)+1)</f>
        <v>Dag 3</v>
      </c>
      <c r="R27" s="1922">
        <f ca="1">IF(R9="","?",R25+S11+S12+S13+S15+S16+S17+S18)</f>
        <v>45921.729166666657</v>
      </c>
      <c r="S27" s="1922"/>
      <c r="T27" s="1922"/>
      <c r="U27" s="607"/>
      <c r="V27" s="1567"/>
    </row>
    <row r="28" spans="1:24" ht="15.75" customHeight="1">
      <c r="A28" s="607"/>
      <c r="B28" s="1057"/>
      <c r="N28" s="6"/>
      <c r="O28" s="644"/>
      <c r="P28" s="607"/>
      <c r="Q28" s="607"/>
      <c r="R28" s="607"/>
      <c r="S28" s="607"/>
      <c r="T28" s="607"/>
      <c r="U28" s="607"/>
      <c r="V28" s="5"/>
    </row>
    <row r="29" spans="1:24" ht="15.75" customHeight="1" thickBot="1">
      <c r="A29" s="607"/>
      <c r="B29" s="1398" t="s">
        <v>1034</v>
      </c>
      <c r="C29" s="1340">
        <v>1</v>
      </c>
      <c r="D29" s="1341" t="str">
        <f>IF(AB11="tørgær","Gæren vendes i melet, og vandet tilsættes.","Gæren røres ud i vandet.")</f>
        <v>Gæren vendes i melet, og vandet tilsættes.</v>
      </c>
      <c r="E29" s="1341"/>
      <c r="F29" s="425"/>
      <c r="G29" s="425"/>
      <c r="H29" s="425"/>
      <c r="I29" s="425"/>
      <c r="J29" s="425"/>
      <c r="K29" s="5"/>
      <c r="L29" s="1329" t="str">
        <f>ROUND(I20,0)&amp;" g vand (25°), "&amp;ROUND(I21,2)&amp;" g. "&amp;AB11</f>
        <v>187 g vand (25°), 1,47 g. tørgær</v>
      </c>
      <c r="M29" s="136"/>
      <c r="N29" s="6"/>
      <c r="O29" s="644"/>
      <c r="P29" s="652"/>
      <c r="Q29" s="696"/>
      <c r="R29" s="696"/>
      <c r="S29" s="654"/>
      <c r="T29" s="1540"/>
      <c r="U29" s="1540"/>
      <c r="V29" s="5"/>
    </row>
    <row r="30" spans="1:24" ht="17.25">
      <c r="A30" s="607"/>
      <c r="B30" s="7"/>
      <c r="C30" s="1341"/>
      <c r="D30" s="1341"/>
      <c r="E30" s="1341"/>
      <c r="F30" s="425"/>
      <c r="G30" s="425"/>
      <c r="H30" s="425"/>
      <c r="I30" s="425"/>
      <c r="J30" s="425"/>
      <c r="K30" s="5"/>
      <c r="L30" s="1330" t="str">
        <f>ROUND(I19,0)&amp;" g. mel."</f>
        <v>187 g. mel.</v>
      </c>
      <c r="M30" s="137"/>
      <c r="N30" s="6"/>
      <c r="O30" s="644"/>
      <c r="P30" s="607"/>
      <c r="Q30" s="610"/>
      <c r="R30" s="610"/>
      <c r="S30" s="611"/>
      <c r="T30" s="607"/>
      <c r="U30" s="607"/>
      <c r="V30" s="5"/>
    </row>
    <row r="31" spans="1:24" ht="18">
      <c r="A31" s="607"/>
      <c r="B31" s="1398" t="s">
        <v>1034</v>
      </c>
      <c r="C31" s="1340">
        <v>2</v>
      </c>
      <c r="D31" s="1341" t="str">
        <f>IF(AB11="tørgær","Rør det godt sammen.","Tilsæt mel og rør det godt sammen til det hele er samlet godt.")</f>
        <v>Rør det godt sammen.</v>
      </c>
      <c r="E31" s="1341"/>
      <c r="F31" s="425"/>
      <c r="G31" s="425"/>
      <c r="H31" s="425"/>
      <c r="I31" s="425"/>
      <c r="J31" s="425"/>
      <c r="K31" s="5"/>
      <c r="L31" s="5"/>
      <c r="M31" s="11"/>
      <c r="N31" s="6"/>
      <c r="O31" s="644"/>
      <c r="P31" s="607"/>
      <c r="Q31" s="607"/>
      <c r="R31" s="607"/>
      <c r="S31" s="607"/>
      <c r="T31" s="607"/>
      <c r="U31" s="607"/>
      <c r="V31" s="5"/>
      <c r="X31" s="156"/>
    </row>
    <row r="32" spans="1:24" ht="17.25">
      <c r="A32" s="607"/>
      <c r="B32" s="7"/>
      <c r="C32" s="1341"/>
      <c r="D32" s="1341"/>
      <c r="E32" s="1341"/>
      <c r="F32" s="425"/>
      <c r="G32" s="425"/>
      <c r="H32" s="425"/>
      <c r="I32" s="425"/>
      <c r="J32" s="425"/>
      <c r="K32" s="5"/>
      <c r="L32" s="5"/>
      <c r="M32" s="11"/>
      <c r="N32" s="6"/>
      <c r="O32" s="644"/>
      <c r="P32" s="607"/>
      <c r="Q32" s="674" t="s">
        <v>358</v>
      </c>
      <c r="R32" s="616"/>
      <c r="S32" s="613"/>
      <c r="T32" s="607"/>
      <c r="U32" s="607"/>
      <c r="V32" s="5"/>
    </row>
    <row r="33" spans="1:22" ht="18">
      <c r="A33" s="607"/>
      <c r="B33" s="1398" t="s">
        <v>1034</v>
      </c>
      <c r="C33" s="1340">
        <v>3</v>
      </c>
      <c r="D33" s="1341" t="s">
        <v>840</v>
      </c>
      <c r="E33" s="1341"/>
      <c r="F33" s="425"/>
      <c r="G33" s="425"/>
      <c r="H33" s="425"/>
      <c r="I33" s="425"/>
      <c r="J33" s="425"/>
      <c r="K33" s="5"/>
      <c r="L33" s="756"/>
      <c r="M33" s="11"/>
      <c r="N33" s="6"/>
      <c r="O33" s="644"/>
      <c r="P33" s="607"/>
      <c r="Q33" s="610" t="s">
        <v>353</v>
      </c>
      <c r="R33" s="617"/>
      <c r="S33" s="607"/>
      <c r="T33" s="607"/>
      <c r="U33" s="607"/>
      <c r="V33" s="5"/>
    </row>
    <row r="34" spans="1:22" ht="17.25">
      <c r="A34" s="607"/>
      <c r="B34" s="7"/>
      <c r="C34" s="1341"/>
      <c r="D34" s="1341"/>
      <c r="E34" s="1341"/>
      <c r="F34" s="425"/>
      <c r="G34" s="425"/>
      <c r="H34" s="425"/>
      <c r="I34" s="425"/>
      <c r="J34" s="425"/>
      <c r="K34" s="5"/>
      <c r="L34" s="5"/>
      <c r="M34" s="11"/>
      <c r="N34" s="6"/>
      <c r="O34" s="644"/>
      <c r="P34" s="607"/>
      <c r="Q34" s="610" t="s">
        <v>367</v>
      </c>
      <c r="R34" s="617"/>
      <c r="S34" s="607"/>
      <c r="T34" s="607"/>
      <c r="U34" s="607"/>
      <c r="V34" s="5"/>
    </row>
    <row r="35" spans="1:22" ht="18">
      <c r="A35" s="607"/>
      <c r="B35" s="1398" t="s">
        <v>1034</v>
      </c>
      <c r="C35" s="1340">
        <v>4</v>
      </c>
      <c r="D35" s="1341" t="s">
        <v>751</v>
      </c>
      <c r="E35" s="1341"/>
      <c r="F35" s="425"/>
      <c r="G35" s="425"/>
      <c r="H35" s="425"/>
      <c r="I35" s="425"/>
      <c r="J35" s="425"/>
      <c r="K35" s="5"/>
      <c r="L35" s="5"/>
      <c r="M35" s="11"/>
      <c r="N35" s="6"/>
      <c r="O35" s="644"/>
      <c r="P35" s="607"/>
      <c r="Q35" s="610" t="s">
        <v>359</v>
      </c>
      <c r="R35" s="607"/>
      <c r="S35" s="607"/>
      <c r="T35" s="607"/>
      <c r="U35" s="607"/>
      <c r="V35" s="5"/>
    </row>
    <row r="36" spans="1:22" ht="17.25">
      <c r="A36" s="607"/>
      <c r="B36" s="7"/>
      <c r="C36" s="1340"/>
      <c r="D36" s="1341"/>
      <c r="E36" s="1341"/>
      <c r="F36" s="425"/>
      <c r="G36" s="425"/>
      <c r="H36" s="425"/>
      <c r="I36" s="425"/>
      <c r="J36" s="425"/>
      <c r="K36" s="5"/>
      <c r="L36" s="5"/>
      <c r="M36" s="11"/>
      <c r="N36" s="6"/>
      <c r="O36" s="644"/>
      <c r="P36" s="607"/>
      <c r="Q36" s="608" t="s">
        <v>360</v>
      </c>
      <c r="R36" s="607"/>
      <c r="S36" s="607"/>
      <c r="T36" s="607"/>
      <c r="U36" s="607"/>
      <c r="V36" s="5"/>
    </row>
    <row r="37" spans="1:22" ht="17.25">
      <c r="A37" s="607"/>
      <c r="B37" s="7"/>
      <c r="C37" s="1340"/>
      <c r="D37" s="1341"/>
      <c r="E37" s="1341"/>
      <c r="F37" s="425"/>
      <c r="G37" s="425"/>
      <c r="H37" s="897"/>
      <c r="I37" s="425"/>
      <c r="J37" s="425"/>
      <c r="K37" s="5"/>
      <c r="L37" s="5"/>
      <c r="M37" s="11"/>
      <c r="N37" s="6"/>
      <c r="O37" s="644"/>
      <c r="P37" s="607"/>
      <c r="Q37" s="610" t="s">
        <v>354</v>
      </c>
      <c r="R37" s="617"/>
      <c r="S37" s="607"/>
      <c r="T37" s="607"/>
      <c r="U37" s="607"/>
      <c r="V37" s="5"/>
    </row>
    <row r="38" spans="1:22" ht="17.25">
      <c r="A38" s="607"/>
      <c r="B38" s="2"/>
      <c r="C38" s="898" t="s">
        <v>814</v>
      </c>
      <c r="D38" s="899"/>
      <c r="E38" s="1542"/>
      <c r="F38" s="900"/>
      <c r="G38" s="901"/>
      <c r="H38" s="901"/>
      <c r="I38" s="901"/>
      <c r="J38" s="536"/>
      <c r="K38" s="1992" t="str">
        <f ca="1">TEXT(R26,"dddd")</f>
        <v>lørdag</v>
      </c>
      <c r="L38" s="1992"/>
      <c r="M38" s="1796">
        <f ca="1">IF($R$8="","",R26)</f>
        <v>45920.663194444438</v>
      </c>
      <c r="N38" s="6"/>
      <c r="O38" s="644"/>
      <c r="P38" s="607"/>
      <c r="Q38" s="607"/>
      <c r="R38" s="607"/>
      <c r="S38" s="607"/>
      <c r="T38" s="607"/>
      <c r="U38" s="607"/>
      <c r="V38" s="5"/>
    </row>
    <row r="39" spans="1:22" ht="15">
      <c r="A39" s="607"/>
      <c r="B39" s="7"/>
      <c r="N39" s="45"/>
      <c r="O39" s="644"/>
      <c r="P39" s="607"/>
      <c r="Q39" s="615" t="s">
        <v>361</v>
      </c>
      <c r="R39" s="618"/>
      <c r="S39" s="618"/>
      <c r="T39" s="607"/>
      <c r="U39" s="607"/>
      <c r="V39" s="5"/>
    </row>
    <row r="40" spans="1:22" ht="18">
      <c r="A40" s="607"/>
      <c r="B40" s="1398" t="s">
        <v>1034</v>
      </c>
      <c r="C40" s="1340">
        <v>6</v>
      </c>
      <c r="D40" s="1341" t="s">
        <v>752</v>
      </c>
      <c r="E40" s="1342"/>
      <c r="F40" s="902"/>
      <c r="G40" s="425"/>
      <c r="H40" s="425"/>
      <c r="I40" s="425"/>
      <c r="J40" s="425"/>
      <c r="K40" s="5"/>
      <c r="L40" s="5"/>
      <c r="M40" s="11"/>
      <c r="N40" s="6"/>
      <c r="O40" s="644"/>
      <c r="P40" s="607"/>
      <c r="Q40" s="610" t="s">
        <v>338</v>
      </c>
      <c r="R40" s="607"/>
      <c r="S40" s="607"/>
      <c r="T40" s="192">
        <v>25</v>
      </c>
      <c r="U40" s="607"/>
      <c r="V40" s="5"/>
    </row>
    <row r="41" spans="1:22" ht="17.25">
      <c r="A41" s="607"/>
      <c r="B41" s="7"/>
      <c r="C41" s="1341"/>
      <c r="D41" s="1341"/>
      <c r="E41" s="1341"/>
      <c r="F41" s="425"/>
      <c r="G41" s="425"/>
      <c r="H41" s="425"/>
      <c r="I41" s="425"/>
      <c r="J41" s="425"/>
      <c r="K41" s="5"/>
      <c r="L41" s="5"/>
      <c r="M41" s="11"/>
      <c r="N41" s="6"/>
      <c r="O41" s="644"/>
      <c r="P41" s="607"/>
      <c r="Q41" s="645" t="s">
        <v>339</v>
      </c>
      <c r="R41" s="607"/>
      <c r="S41" s="607"/>
      <c r="T41" s="190"/>
      <c r="U41" s="607"/>
      <c r="V41" s="5"/>
    </row>
    <row r="42" spans="1:22" ht="15" customHeight="1">
      <c r="A42" s="607"/>
      <c r="B42" s="1398" t="s">
        <v>1034</v>
      </c>
      <c r="C42" s="1340">
        <v>7</v>
      </c>
      <c r="D42" s="1341" t="str">
        <f>IF(AND(I7&gt;0,I7&lt;&gt;""),"Poolish'en røres ud i vandet, hvorefter mel og tørret surdej tilsættes og blandes.","Poolish'en røres ud i vandet, hvorefter mel tilsættes og blandes.")</f>
        <v>Poolish'en røres ud i vandet, hvorefter mel tilsættes og blandes.</v>
      </c>
      <c r="E42" s="1341"/>
      <c r="F42" s="425"/>
      <c r="G42" s="425"/>
      <c r="H42" s="425"/>
      <c r="I42" s="425"/>
      <c r="J42" s="425"/>
      <c r="K42" s="5"/>
      <c r="L42" s="1331" t="str">
        <f>ROUND(L20,0)&amp;" g. vand, poolish, "&amp;ROUND(L19,0)&amp;" g. mel"</f>
        <v>438 g. vand, poolish, 781 g. mel</v>
      </c>
      <c r="M42" s="1332"/>
      <c r="N42" s="6"/>
      <c r="O42" s="644"/>
      <c r="P42" s="607"/>
      <c r="Q42" s="645" t="s">
        <v>340</v>
      </c>
      <c r="R42" s="607"/>
      <c r="S42" s="607"/>
      <c r="T42" s="190">
        <v>5</v>
      </c>
      <c r="U42" s="607"/>
      <c r="V42" s="5"/>
    </row>
    <row r="43" spans="1:22" ht="15" customHeight="1">
      <c r="A43" s="607"/>
      <c r="B43" s="1343"/>
      <c r="C43" s="1341"/>
      <c r="D43" s="1341"/>
      <c r="E43" s="1341"/>
      <c r="F43" s="425"/>
      <c r="G43" s="425"/>
      <c r="H43" s="425"/>
      <c r="I43" s="425"/>
      <c r="J43" s="425"/>
      <c r="K43" s="5"/>
      <c r="L43" s="1333" t="str">
        <f>IF(AND(I7&gt;0,I7&lt;&gt;""),"samt "&amp;ROUND(L23,0)&amp;" g. hvedesur.","")</f>
        <v/>
      </c>
      <c r="M43" s="1334"/>
      <c r="N43" s="6"/>
      <c r="O43" s="644"/>
      <c r="P43" s="607"/>
      <c r="Q43" s="612" t="s">
        <v>341</v>
      </c>
      <c r="R43" s="613"/>
      <c r="S43" s="613"/>
      <c r="T43" s="191">
        <v>5</v>
      </c>
      <c r="U43" s="607"/>
      <c r="V43" s="5"/>
    </row>
    <row r="44" spans="1:22" ht="15" customHeight="1">
      <c r="A44" s="607"/>
      <c r="B44" s="1398" t="s">
        <v>1034</v>
      </c>
      <c r="C44" s="1340">
        <v>8</v>
      </c>
      <c r="D44" s="1341" t="s">
        <v>753</v>
      </c>
      <c r="E44" s="1341"/>
      <c r="F44" s="425"/>
      <c r="G44" s="425"/>
      <c r="H44" s="425"/>
      <c r="I44" s="425"/>
      <c r="J44" s="425"/>
      <c r="K44" s="5"/>
      <c r="L44" s="5"/>
      <c r="M44" s="11"/>
      <c r="N44" s="6"/>
      <c r="O44" s="644"/>
      <c r="P44" s="607"/>
      <c r="Q44" s="645" t="s">
        <v>342</v>
      </c>
      <c r="R44" s="607"/>
      <c r="S44" s="607"/>
      <c r="T44" s="2012" t="str">
        <f>IF(OR(T40="",T41=""),"",(T40*2)-T41-T42-(T43*2)&amp;"°")</f>
        <v/>
      </c>
      <c r="U44" s="607"/>
      <c r="V44" s="5"/>
    </row>
    <row r="45" spans="1:22" ht="15" customHeight="1">
      <c r="A45" s="607"/>
      <c r="B45" s="1343"/>
      <c r="C45" s="1341"/>
      <c r="D45" s="1341"/>
      <c r="E45" s="1341"/>
      <c r="F45" s="425"/>
      <c r="G45" s="425"/>
      <c r="H45" s="425"/>
      <c r="I45" s="425"/>
      <c r="J45" s="425"/>
      <c r="K45" s="5"/>
      <c r="L45" s="5"/>
      <c r="M45" s="11"/>
      <c r="N45" s="6"/>
      <c r="O45" s="644"/>
      <c r="P45" s="607"/>
      <c r="Q45" s="647" t="s">
        <v>343</v>
      </c>
      <c r="R45" s="695"/>
      <c r="S45" s="695"/>
      <c r="T45" s="2013"/>
      <c r="U45" s="607"/>
      <c r="V45" s="5"/>
    </row>
    <row r="46" spans="1:22" ht="15" customHeight="1">
      <c r="A46" s="607"/>
      <c r="B46" s="1398" t="s">
        <v>1034</v>
      </c>
      <c r="C46" s="1340">
        <v>9</v>
      </c>
      <c r="D46" s="1341" t="s">
        <v>306</v>
      </c>
      <c r="E46" s="1341"/>
      <c r="F46" s="425"/>
      <c r="G46" s="425"/>
      <c r="H46" s="425"/>
      <c r="I46" s="425"/>
      <c r="J46" s="425"/>
      <c r="K46" s="5"/>
      <c r="L46" s="5"/>
      <c r="M46" s="11"/>
      <c r="N46" s="6"/>
      <c r="O46" s="644"/>
      <c r="P46" s="607"/>
      <c r="Q46" s="608"/>
      <c r="R46" s="608"/>
      <c r="S46" s="608"/>
      <c r="T46" s="607"/>
      <c r="U46" s="607"/>
      <c r="V46" s="5"/>
    </row>
    <row r="47" spans="1:22" ht="15" customHeight="1">
      <c r="A47" s="607"/>
      <c r="B47" s="1343"/>
      <c r="C47" s="1341"/>
      <c r="D47" s="1341"/>
      <c r="E47" s="1341"/>
      <c r="F47" s="425"/>
      <c r="G47" s="425"/>
      <c r="H47" s="425"/>
      <c r="I47" s="425"/>
      <c r="J47" s="425"/>
      <c r="K47" s="5"/>
      <c r="L47" s="5"/>
      <c r="M47" s="11"/>
      <c r="N47" s="6"/>
      <c r="O47" s="644"/>
      <c r="P47" s="607"/>
      <c r="Q47" s="609" t="s">
        <v>362</v>
      </c>
      <c r="R47" s="609"/>
      <c r="S47" s="697"/>
      <c r="T47" s="607"/>
      <c r="U47" s="607"/>
      <c r="V47" s="5"/>
    </row>
    <row r="48" spans="1:22" ht="15" customHeight="1">
      <c r="A48" s="607"/>
      <c r="B48" s="1398" t="s">
        <v>1034</v>
      </c>
      <c r="C48" s="1344">
        <v>10</v>
      </c>
      <c r="D48" s="1341" t="s">
        <v>841</v>
      </c>
      <c r="E48" s="1341"/>
      <c r="F48" s="425"/>
      <c r="G48" s="425"/>
      <c r="H48" s="425"/>
      <c r="I48" s="425"/>
      <c r="J48" s="425"/>
      <c r="K48" s="5"/>
      <c r="L48" s="1335" t="str">
        <f>ROUND(L21,0)&amp;" g. salt"</f>
        <v>25 g. salt</v>
      </c>
      <c r="M48" s="141"/>
      <c r="N48" s="6"/>
      <c r="O48" s="644"/>
      <c r="P48" s="607"/>
      <c r="Q48" s="610" t="s">
        <v>364</v>
      </c>
      <c r="R48" s="608"/>
      <c r="S48" s="608"/>
      <c r="T48" s="607"/>
      <c r="U48" s="607"/>
      <c r="V48" s="5"/>
    </row>
    <row r="49" spans="1:22" ht="15" customHeight="1">
      <c r="A49" s="607"/>
      <c r="B49" s="1343"/>
      <c r="C49" s="1341"/>
      <c r="D49" s="1341"/>
      <c r="E49" s="1341"/>
      <c r="F49" s="425"/>
      <c r="G49" s="425"/>
      <c r="H49" s="425"/>
      <c r="I49" s="425"/>
      <c r="J49" s="425"/>
      <c r="K49" s="5"/>
      <c r="L49" s="5"/>
      <c r="M49" s="11"/>
      <c r="N49" s="6"/>
      <c r="O49" s="644"/>
      <c r="P49" s="607"/>
      <c r="Q49" s="610" t="s">
        <v>363</v>
      </c>
      <c r="R49" s="608"/>
      <c r="S49" s="608"/>
      <c r="T49" s="607"/>
      <c r="U49" s="607"/>
      <c r="V49" s="5"/>
    </row>
    <row r="50" spans="1:22" ht="15" customHeight="1">
      <c r="A50" s="607"/>
      <c r="B50" s="1398" t="s">
        <v>1034</v>
      </c>
      <c r="C50" s="1344">
        <v>11</v>
      </c>
      <c r="D50" s="1341" t="s">
        <v>842</v>
      </c>
      <c r="E50" s="1345"/>
      <c r="F50" s="892"/>
      <c r="G50" s="892"/>
      <c r="H50" s="892"/>
      <c r="I50" s="893"/>
      <c r="J50" s="893"/>
      <c r="K50" s="5"/>
      <c r="L50" s="894"/>
      <c r="M50" s="11"/>
      <c r="N50" s="6"/>
      <c r="O50" s="644"/>
      <c r="P50" s="607"/>
      <c r="Q50" s="651" t="s">
        <v>365</v>
      </c>
      <c r="R50" s="608"/>
      <c r="S50" s="607"/>
      <c r="T50" s="607"/>
      <c r="U50" s="607"/>
      <c r="V50" s="5"/>
    </row>
    <row r="51" spans="1:22" ht="17.25">
      <c r="A51" s="607"/>
      <c r="B51" s="1343"/>
      <c r="C51" s="1341"/>
      <c r="D51" s="1341" t="s">
        <v>754</v>
      </c>
      <c r="E51" s="1341"/>
      <c r="F51" s="425"/>
      <c r="G51" s="425"/>
      <c r="H51" s="425"/>
      <c r="I51" s="425"/>
      <c r="J51" s="425"/>
      <c r="K51" s="5"/>
      <c r="L51" s="894"/>
      <c r="M51" s="11"/>
      <c r="N51" s="6"/>
      <c r="O51" s="644"/>
      <c r="P51" s="607"/>
      <c r="Q51" s="608" t="s">
        <v>474</v>
      </c>
      <c r="R51" s="611"/>
      <c r="S51" s="607"/>
      <c r="T51" s="607"/>
      <c r="U51" s="607"/>
      <c r="V51" s="5"/>
    </row>
    <row r="52" spans="1:22" ht="17.25">
      <c r="A52" s="607"/>
      <c r="B52" s="1343"/>
      <c r="C52" s="1341"/>
      <c r="D52" s="1341"/>
      <c r="E52" s="1341"/>
      <c r="F52" s="425"/>
      <c r="G52" s="425"/>
      <c r="H52" s="425"/>
      <c r="I52" s="425"/>
      <c r="J52" s="425"/>
      <c r="K52" s="5"/>
      <c r="L52" s="5"/>
      <c r="M52" s="11"/>
      <c r="N52" s="6"/>
      <c r="O52" s="644"/>
      <c r="P52" s="607"/>
      <c r="Q52" s="608" t="s">
        <v>366</v>
      </c>
      <c r="R52" s="611"/>
      <c r="S52" s="607"/>
      <c r="T52" s="607"/>
      <c r="U52" s="607"/>
      <c r="V52" s="5"/>
    </row>
    <row r="53" spans="1:22" ht="18">
      <c r="A53" s="607"/>
      <c r="B53" s="1398" t="s">
        <v>1034</v>
      </c>
      <c r="C53" s="1344">
        <v>12</v>
      </c>
      <c r="D53" s="1341" t="str">
        <f>"Vend dejen ud på et let melet bord, og "&amp;"del den i "&amp;$F$7&amp;" lige store klumper a "&amp;ROUND(F8,0)&amp;" g."</f>
        <v>Vend dejen ud på et let melet bord, og del den i 6 lige store klumper a 270 g.</v>
      </c>
      <c r="E53" s="1341"/>
      <c r="F53" s="425"/>
      <c r="G53" s="425"/>
      <c r="H53" s="425"/>
      <c r="I53" s="425"/>
      <c r="J53" s="425"/>
      <c r="K53" s="5"/>
      <c r="L53" s="5"/>
      <c r="M53" s="11"/>
      <c r="N53" s="6"/>
      <c r="O53" s="644"/>
      <c r="P53" s="607"/>
      <c r="Q53" s="607"/>
      <c r="R53" s="607"/>
      <c r="S53" s="607"/>
      <c r="T53" s="607"/>
      <c r="U53" s="607"/>
      <c r="V53" s="5"/>
    </row>
    <row r="54" spans="1:22" ht="17.25">
      <c r="A54" s="607"/>
      <c r="B54" s="1343"/>
      <c r="C54" s="1341"/>
      <c r="D54" s="1341"/>
      <c r="E54" s="1341"/>
      <c r="F54" s="425"/>
      <c r="G54" s="425"/>
      <c r="H54" s="425"/>
      <c r="I54" s="425"/>
      <c r="J54" s="425"/>
      <c r="K54" s="5"/>
      <c r="L54" s="5"/>
      <c r="M54" s="11"/>
      <c r="N54" s="6"/>
      <c r="O54" s="644"/>
      <c r="P54" s="607"/>
      <c r="Q54" s="607"/>
      <c r="R54" s="607"/>
      <c r="S54" s="607"/>
      <c r="T54" s="607"/>
      <c r="U54" s="607"/>
      <c r="V54" s="5"/>
    </row>
    <row r="55" spans="1:22" ht="18">
      <c r="A55" s="607"/>
      <c r="B55" s="1398" t="s">
        <v>1034</v>
      </c>
      <c r="C55" s="1344">
        <v>13</v>
      </c>
      <c r="D55" s="1341" t="s">
        <v>307</v>
      </c>
      <c r="E55" s="1341"/>
      <c r="F55" s="425"/>
      <c r="G55" s="425"/>
      <c r="H55" s="425"/>
      <c r="I55" s="425"/>
      <c r="J55" s="425"/>
      <c r="K55" s="5"/>
      <c r="L55" s="5"/>
      <c r="M55" s="11"/>
      <c r="N55" s="6"/>
      <c r="O55" s="644"/>
      <c r="P55" s="607"/>
      <c r="Q55" s="607"/>
      <c r="R55" s="607"/>
      <c r="S55" s="607"/>
      <c r="T55" s="607"/>
      <c r="U55" s="607"/>
      <c r="V55" s="5"/>
    </row>
    <row r="56" spans="1:22" ht="17.25">
      <c r="A56" s="607"/>
      <c r="B56" s="1343"/>
      <c r="C56" s="1341"/>
      <c r="D56" s="1341"/>
      <c r="E56" s="1341"/>
      <c r="F56" s="425"/>
      <c r="G56" s="425"/>
      <c r="H56" s="425"/>
      <c r="I56" s="425"/>
      <c r="J56" s="425"/>
      <c r="K56" s="5"/>
      <c r="L56" s="5"/>
      <c r="M56" s="11"/>
      <c r="N56" s="6"/>
      <c r="O56" s="644"/>
      <c r="P56" s="607"/>
      <c r="Q56" s="607"/>
      <c r="R56" s="607"/>
      <c r="S56" s="607"/>
      <c r="T56" s="607"/>
      <c r="U56" s="607"/>
      <c r="V56" s="5"/>
    </row>
    <row r="57" spans="1:22" ht="18">
      <c r="A57" s="607"/>
      <c r="B57" s="1398" t="s">
        <v>1034</v>
      </c>
      <c r="C57" s="1340">
        <v>14</v>
      </c>
      <c r="D57" s="1341" t="s">
        <v>843</v>
      </c>
      <c r="E57" s="1341"/>
      <c r="F57" s="425"/>
      <c r="G57" s="425"/>
      <c r="H57" s="425"/>
      <c r="I57" s="425"/>
      <c r="J57" s="425"/>
      <c r="K57" s="5"/>
      <c r="L57" s="895"/>
      <c r="M57" s="895"/>
      <c r="N57" s="6"/>
      <c r="O57" s="644"/>
      <c r="P57" s="607"/>
      <c r="Q57" s="607"/>
      <c r="R57" s="607"/>
      <c r="S57" s="607"/>
      <c r="T57" s="607"/>
      <c r="U57" s="607"/>
      <c r="V57" s="5"/>
    </row>
    <row r="58" spans="1:22" ht="17.25">
      <c r="A58" s="607"/>
      <c r="B58" s="1343"/>
      <c r="C58" s="1340"/>
      <c r="D58" s="1341"/>
      <c r="E58" s="1341"/>
      <c r="F58" s="425"/>
      <c r="G58" s="425"/>
      <c r="H58" s="425"/>
      <c r="I58" s="425"/>
      <c r="J58" s="425"/>
      <c r="K58" s="5"/>
      <c r="L58" s="895"/>
      <c r="M58" s="895"/>
      <c r="N58" s="6"/>
      <c r="O58" s="644"/>
      <c r="P58" s="607"/>
      <c r="Q58" s="607"/>
      <c r="R58" s="607"/>
      <c r="S58" s="607"/>
      <c r="T58" s="607"/>
      <c r="U58" s="607"/>
      <c r="V58" s="5"/>
    </row>
    <row r="59" spans="1:22" ht="17.25">
      <c r="A59" s="607"/>
      <c r="B59" s="1343"/>
      <c r="C59" s="1340"/>
      <c r="D59" s="1341"/>
      <c r="E59" s="1341"/>
      <c r="F59" s="425"/>
      <c r="G59" s="425"/>
      <c r="H59" s="425"/>
      <c r="I59" s="425"/>
      <c r="J59" s="425"/>
      <c r="K59" s="5"/>
      <c r="L59" s="5"/>
      <c r="M59" s="11"/>
      <c r="N59" s="6"/>
      <c r="O59" s="644"/>
      <c r="P59" s="607"/>
      <c r="Q59" s="607"/>
      <c r="R59" s="607"/>
      <c r="S59" s="607"/>
      <c r="T59" s="607"/>
      <c r="U59" s="607"/>
      <c r="V59" s="5"/>
    </row>
    <row r="60" spans="1:22" ht="17.25">
      <c r="A60" s="607"/>
      <c r="B60" s="1421"/>
      <c r="C60" s="898" t="str">
        <f ca="1">IF(R9="","Dag 3",Q27)</f>
        <v>Dag 3</v>
      </c>
      <c r="D60" s="899"/>
      <c r="E60" s="974"/>
      <c r="F60" s="900"/>
      <c r="G60" s="901"/>
      <c r="H60" s="901"/>
      <c r="I60" s="536"/>
      <c r="J60" s="536"/>
      <c r="K60" s="1992" t="str">
        <f ca="1">TEXT(R27,"dddd")</f>
        <v>søndag</v>
      </c>
      <c r="L60" s="1992"/>
      <c r="M60" s="1796">
        <f ca="1">IF($R$8="","",R27)</f>
        <v>45921.729166666657</v>
      </c>
      <c r="N60" s="6"/>
      <c r="O60" s="644"/>
      <c r="P60" s="607"/>
      <c r="Q60" s="607"/>
      <c r="R60" s="607"/>
      <c r="S60" s="607"/>
      <c r="T60" s="607"/>
      <c r="U60" s="607"/>
      <c r="V60" s="5"/>
    </row>
    <row r="61" spans="1:22" ht="15.75" customHeight="1">
      <c r="A61" s="607"/>
      <c r="B61" s="1346"/>
      <c r="C61" s="1342"/>
      <c r="D61" s="1347"/>
      <c r="E61" s="1348"/>
      <c r="F61" s="1349"/>
      <c r="G61" s="975"/>
      <c r="H61" s="975"/>
      <c r="I61" s="425"/>
      <c r="J61" s="425"/>
      <c r="K61" s="5"/>
      <c r="L61" s="5"/>
      <c r="M61" s="11"/>
      <c r="N61" s="6"/>
      <c r="O61" s="644"/>
      <c r="P61" s="607"/>
      <c r="Q61" s="607"/>
      <c r="R61" s="607"/>
      <c r="S61" s="607"/>
      <c r="T61" s="607"/>
      <c r="U61" s="607"/>
      <c r="V61" s="5"/>
    </row>
    <row r="62" spans="1:22" ht="15.75" customHeight="1">
      <c r="A62" s="607"/>
      <c r="B62" s="1398" t="s">
        <v>1034</v>
      </c>
      <c r="C62" s="1340">
        <v>15</v>
      </c>
      <c r="D62" s="1350" t="s">
        <v>473</v>
      </c>
      <c r="E62" s="1350"/>
      <c r="F62" s="896"/>
      <c r="G62" s="896"/>
      <c r="H62" s="896"/>
      <c r="I62" s="896"/>
      <c r="J62" s="896"/>
      <c r="K62" s="27"/>
      <c r="L62" s="27"/>
      <c r="M62" s="27"/>
      <c r="N62" s="6"/>
      <c r="O62" s="644"/>
      <c r="P62" s="607"/>
      <c r="Q62" s="607"/>
      <c r="R62" s="607"/>
      <c r="S62" s="607"/>
      <c r="T62" s="607"/>
      <c r="U62" s="607"/>
      <c r="V62" s="5"/>
    </row>
    <row r="63" spans="1:22" ht="15.75" customHeight="1">
      <c r="A63" s="607"/>
      <c r="B63" s="2"/>
      <c r="C63" s="3"/>
      <c r="D63" s="3"/>
      <c r="E63" s="3"/>
      <c r="F63" s="3"/>
      <c r="G63" s="3"/>
      <c r="H63" s="3"/>
      <c r="I63" s="3"/>
      <c r="J63" s="82"/>
      <c r="K63" s="1351"/>
      <c r="L63" s="1351"/>
      <c r="M63" s="1351" t="s">
        <v>523</v>
      </c>
      <c r="N63" s="1352"/>
      <c r="O63" s="644"/>
      <c r="P63" s="607"/>
      <c r="Q63" s="607"/>
      <c r="R63" s="607"/>
      <c r="S63" s="607"/>
      <c r="T63" s="607"/>
      <c r="U63" s="607"/>
      <c r="V63" s="5"/>
    </row>
    <row r="64" spans="1:22" ht="15.75" customHeight="1">
      <c r="A64" s="607"/>
      <c r="B64" s="607"/>
      <c r="C64" s="607"/>
      <c r="D64" s="607"/>
      <c r="E64" s="607"/>
      <c r="F64" s="607"/>
      <c r="G64" s="607"/>
      <c r="H64" s="607"/>
      <c r="I64" s="607"/>
      <c r="J64" s="607"/>
      <c r="K64" s="607"/>
      <c r="L64" s="607"/>
      <c r="M64" s="607"/>
      <c r="N64" s="607"/>
      <c r="O64" s="607"/>
      <c r="P64" s="607"/>
      <c r="Q64" s="607"/>
      <c r="R64" s="607"/>
      <c r="S64" s="607"/>
      <c r="T64" s="607"/>
      <c r="U64" s="607"/>
      <c r="V64" s="5"/>
    </row>
  </sheetData>
  <sheetProtection algorithmName="SHA-512" hashValue="zvsMYGbrDUKl5NgfeKIOR9TRhjbwFqNJMne7Qja6aaH6ZFgquOvJHFszG+K9lPTCNpvRTeh3ko11GTLuQGO85w==" saltValue="GayrMs/f0i9B7RlMo3S8Nw==" spinCount="100000" sheet="1" objects="1" scenarios="1" selectLockedCells="1"/>
  <mergeCells count="24">
    <mergeCell ref="T44:T45"/>
    <mergeCell ref="K27:L27"/>
    <mergeCell ref="K38:L38"/>
    <mergeCell ref="T12:U12"/>
    <mergeCell ref="R25:T25"/>
    <mergeCell ref="R26:T26"/>
    <mergeCell ref="R27:T27"/>
    <mergeCell ref="T13:U13"/>
    <mergeCell ref="K60:L60"/>
    <mergeCell ref="S8:U8"/>
    <mergeCell ref="T11:U11"/>
    <mergeCell ref="T15:U15"/>
    <mergeCell ref="C2:J3"/>
    <mergeCell ref="N11:O11"/>
    <mergeCell ref="C13:F15"/>
    <mergeCell ref="H5:I5"/>
    <mergeCell ref="E9:E10"/>
    <mergeCell ref="F9:F10"/>
    <mergeCell ref="G9:G10"/>
    <mergeCell ref="P5:U6"/>
    <mergeCell ref="S7:U7"/>
    <mergeCell ref="K10:L10"/>
    <mergeCell ref="H17:M17"/>
    <mergeCell ref="H16:M16"/>
  </mergeCells>
  <conditionalFormatting sqref="L43:M43">
    <cfRule type="expression" dxfId="5" priority="2">
      <formula>AND(#REF!&gt;0,#REF!&lt;&gt;"")</formula>
    </cfRule>
  </conditionalFormatting>
  <dataValidations count="7">
    <dataValidation allowBlank="1" promptTitle="Forslag" prompt="Ca. 4% tørret surdej._x000a_F.eks. Grand Farine Levain eller Caputo Criscito._x000a_" sqref="I10" xr:uid="{3CD8A7DC-8B7D-42E3-90C2-94C04ADC785A}"/>
    <dataValidation allowBlank="1" sqref="J12 I7:J7 I10 B10 M7:M9" xr:uid="{3A5E45E5-96B6-41B1-AA27-B019A7A52EA9}"/>
    <dataValidation allowBlank="1" showInputMessage="1" promptTitle="Forslag" prompt="Ca. 4% tørret surdej._x000a_F.eks. Grand Farine Levain eller Caputo Criscito._x000a_" sqref="I7" xr:uid="{9E70CCC4-DDA4-431A-BEB2-F25BD886F757}"/>
    <dataValidation allowBlank="1" showInputMessage="1" showErrorMessage="1" promptTitle="Anbefaling" prompt="24-27°_x000a_Dejtemperaturen har meget stor betydning for det endelieg resultat." sqref="T40" xr:uid="{BDEA392C-B9FD-496F-A72B-9A2B9BBE6916}"/>
    <dataValidation type="list" allowBlank="1" sqref="R8" xr:uid="{5CE892D6-BC49-4803-B39C-BEAEF8949815}">
      <formula1>"11:30,12:00,12:30,13:00,17:00,17:30,18:00,18:30,19:00,19:30"</formula1>
    </dataValidation>
    <dataValidation type="list" allowBlank="1" sqref="J10" xr:uid="{1108053B-78B6-43F4-883A-B10FA31C7A9D}">
      <formula1>$AA$7:$AA$9</formula1>
    </dataValidation>
    <dataValidation type="list" allowBlank="1" showErrorMessage="1" sqref="R7" xr:uid="{8297AFA9-569E-443F-BAA9-001354F5ED5F}">
      <formula1>"Mandag,Tirsdag,Onsdag,Torsdag,Fredag,Lørdag,Søndag"</formula1>
    </dataValidation>
  </dataValidations>
  <pageMargins left="0.23622047244094491" right="0.23622047244094491" top="0.74803149606299213" bottom="0.74803149606299213" header="0.31496062992125984" footer="0.31496062992125984"/>
  <pageSetup paperSize="9" scale="77"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E1FC0-4AF5-4EC7-B21C-BAC499ADC4E8}">
  <sheetPr codeName="Ark9">
    <tabColor theme="0"/>
    <pageSetUpPr fitToPage="1"/>
  </sheetPr>
  <dimension ref="A1:AA49"/>
  <sheetViews>
    <sheetView showGridLines="0" showRowColHeaders="0" zoomScaleNormal="100" workbookViewId="0">
      <pane ySplit="4" topLeftCell="A5" activePane="bottomLeft" state="frozen"/>
      <selection activeCell="H8" sqref="H8"/>
      <selection pane="bottomLeft" activeCell="H8" sqref="H8"/>
    </sheetView>
  </sheetViews>
  <sheetFormatPr defaultColWidth="0" defaultRowHeight="16.5" customHeight="1" zeroHeight="1"/>
  <cols>
    <col min="1" max="1" width="3.5703125" customWidth="1"/>
    <col min="2" max="3" width="7.140625" customWidth="1"/>
    <col min="4" max="4" width="15.7109375" customWidth="1"/>
    <col min="5" max="5" width="4.5703125" customWidth="1"/>
    <col min="6" max="6" width="7.7109375" customWidth="1"/>
    <col min="7" max="7" width="6.42578125" customWidth="1"/>
    <col min="8" max="8" width="8.5703125" customWidth="1"/>
    <col min="9" max="9" width="10.85546875" customWidth="1"/>
    <col min="10" max="10" width="6.28515625" customWidth="1"/>
    <col min="11" max="11" width="8.42578125" customWidth="1"/>
    <col min="12" max="12" width="6.140625" bestFit="1" customWidth="1"/>
    <col min="13" max="13" width="16.28515625" customWidth="1"/>
    <col min="14" max="14" width="9.85546875" customWidth="1"/>
    <col min="15" max="16" width="3.140625" customWidth="1"/>
    <col min="17" max="17" width="6.28515625" customWidth="1"/>
    <col min="18" max="18" width="8" customWidth="1"/>
    <col min="19" max="19" width="19.85546875" customWidth="1"/>
    <col min="20" max="20" width="8.140625" customWidth="1"/>
    <col min="21" max="21" width="8" customWidth="1"/>
    <col min="22" max="22" width="3.5703125" customWidth="1"/>
    <col min="23" max="23" width="8.7109375" hidden="1" customWidth="1"/>
    <col min="24" max="25" width="15.7109375" hidden="1" customWidth="1"/>
    <col min="26" max="16384" width="8.7109375" hidden="1"/>
  </cols>
  <sheetData>
    <row r="1" spans="1:27" ht="15" customHeight="1">
      <c r="A1" s="660"/>
      <c r="B1" s="660"/>
      <c r="C1" s="661"/>
      <c r="D1" s="661"/>
      <c r="E1" s="661"/>
      <c r="F1" s="661"/>
      <c r="G1" s="661"/>
      <c r="H1" s="661"/>
      <c r="I1" s="661"/>
      <c r="J1" s="660"/>
      <c r="K1" s="660"/>
      <c r="L1" s="660"/>
      <c r="M1" s="660"/>
      <c r="N1" s="5"/>
      <c r="O1" s="5"/>
      <c r="P1" s="5"/>
      <c r="Q1" s="5"/>
      <c r="R1" s="5"/>
      <c r="S1" s="5"/>
      <c r="T1" s="5"/>
      <c r="U1" s="5"/>
      <c r="V1" s="5"/>
    </row>
    <row r="2" spans="1:27" ht="15" customHeight="1">
      <c r="A2" s="660"/>
      <c r="B2" s="660"/>
      <c r="C2" s="1982" t="s">
        <v>1047</v>
      </c>
      <c r="D2" s="1982"/>
      <c r="E2" s="1982"/>
      <c r="F2" s="1982"/>
      <c r="G2" s="1982"/>
      <c r="H2" s="1982"/>
      <c r="I2" s="1982"/>
      <c r="J2" s="1982"/>
      <c r="K2" s="660"/>
      <c r="L2" s="660"/>
      <c r="M2" s="660"/>
      <c r="N2" s="5"/>
      <c r="O2" s="5"/>
      <c r="P2" s="5"/>
      <c r="Q2" s="5"/>
      <c r="R2" s="666"/>
      <c r="S2" s="5"/>
      <c r="T2" s="5"/>
      <c r="U2" s="5"/>
      <c r="V2" s="5"/>
    </row>
    <row r="3" spans="1:27" ht="15" customHeight="1">
      <c r="A3" s="660"/>
      <c r="B3" s="660"/>
      <c r="C3" s="1982"/>
      <c r="D3" s="1982"/>
      <c r="E3" s="1982"/>
      <c r="F3" s="1982"/>
      <c r="G3" s="1982"/>
      <c r="H3" s="1982"/>
      <c r="I3" s="1982"/>
      <c r="J3" s="1982"/>
      <c r="K3" s="660"/>
      <c r="L3" s="660"/>
      <c r="M3" s="660"/>
      <c r="N3" s="5"/>
      <c r="O3" s="5"/>
      <c r="P3" s="5"/>
      <c r="Q3" s="5"/>
      <c r="R3" s="5"/>
      <c r="S3" s="5"/>
      <c r="T3" s="5"/>
      <c r="U3" s="5"/>
      <c r="V3" s="5"/>
    </row>
    <row r="4" spans="1:27" ht="15" customHeight="1" thickBot="1">
      <c r="A4" s="663"/>
      <c r="B4" s="663"/>
      <c r="C4" s="664" t="s">
        <v>381</v>
      </c>
      <c r="D4" s="665"/>
      <c r="E4" s="665"/>
      <c r="F4" s="665"/>
      <c r="G4" s="665"/>
      <c r="H4" s="665"/>
      <c r="I4" s="665"/>
      <c r="J4" s="663"/>
      <c r="K4" s="663"/>
      <c r="L4" s="663"/>
      <c r="M4" s="663"/>
      <c r="N4" s="657"/>
      <c r="O4" s="657"/>
      <c r="P4" s="657"/>
      <c r="Q4" s="657"/>
      <c r="R4" s="657"/>
      <c r="S4" s="657"/>
      <c r="T4" s="657"/>
      <c r="U4" s="657"/>
      <c r="V4" s="657"/>
    </row>
    <row r="5" spans="1:27" thickTop="1">
      <c r="A5" s="620"/>
      <c r="B5" s="620"/>
      <c r="C5" s="620"/>
      <c r="D5" s="620"/>
      <c r="E5" s="620"/>
      <c r="F5" s="607"/>
      <c r="G5" s="607"/>
      <c r="H5" s="607"/>
      <c r="I5" s="607"/>
      <c r="J5" s="607"/>
      <c r="K5" s="702"/>
      <c r="L5" s="620"/>
      <c r="M5" s="620"/>
      <c r="N5" s="620"/>
      <c r="O5" s="620"/>
      <c r="P5" s="1273"/>
      <c r="Q5" s="1993" t="s">
        <v>1075</v>
      </c>
      <c r="R5" s="1994"/>
      <c r="S5" s="1994"/>
      <c r="T5" s="1994"/>
      <c r="U5" s="1994"/>
      <c r="V5" s="1994"/>
    </row>
    <row r="6" spans="1:27" thickBot="1">
      <c r="A6" s="620"/>
      <c r="B6" s="620"/>
      <c r="C6" s="620"/>
      <c r="D6" s="620"/>
      <c r="E6" s="620"/>
      <c r="F6" s="607"/>
      <c r="G6" s="607"/>
      <c r="H6" s="607"/>
      <c r="I6" s="607"/>
      <c r="J6" s="607"/>
      <c r="K6" s="702"/>
      <c r="L6" s="620"/>
      <c r="M6" s="620"/>
      <c r="N6" s="620"/>
      <c r="O6" s="620"/>
      <c r="P6" s="637"/>
      <c r="Q6" s="1995"/>
      <c r="R6" s="1996"/>
      <c r="S6" s="1996"/>
      <c r="T6" s="1996"/>
      <c r="U6" s="1996"/>
      <c r="V6" s="1996"/>
    </row>
    <row r="7" spans="1:27" thickTop="1">
      <c r="A7" s="620"/>
      <c r="B7" s="706" t="s">
        <v>378</v>
      </c>
      <c r="C7" s="688"/>
      <c r="D7" s="689"/>
      <c r="E7" s="621"/>
      <c r="F7" s="703"/>
      <c r="G7" s="619"/>
      <c r="H7" s="704"/>
      <c r="I7" s="620"/>
      <c r="J7" s="705"/>
      <c r="K7" s="2019" t="s">
        <v>745</v>
      </c>
      <c r="L7" s="2019"/>
      <c r="M7" s="2019"/>
      <c r="N7" s="620"/>
      <c r="O7" s="620"/>
      <c r="P7" s="637"/>
      <c r="Q7" s="643"/>
      <c r="R7" s="623" t="s">
        <v>1289</v>
      </c>
      <c r="S7" s="1845" t="s">
        <v>1290</v>
      </c>
      <c r="T7" s="1998"/>
      <c r="U7" s="1998"/>
      <c r="V7" s="1998"/>
      <c r="X7" s="1082" t="s">
        <v>418</v>
      </c>
      <c r="Y7" s="1075"/>
    </row>
    <row r="8" spans="1:27" ht="15.75">
      <c r="A8" s="620"/>
      <c r="B8" s="690">
        <f>1</f>
        <v>1</v>
      </c>
      <c r="C8" s="621" t="s">
        <v>374</v>
      </c>
      <c r="D8" s="691"/>
      <c r="E8" s="621"/>
      <c r="F8" s="626" t="s">
        <v>372</v>
      </c>
      <c r="G8" s="614"/>
      <c r="H8" s="271">
        <v>6</v>
      </c>
      <c r="I8" s="701" t="s">
        <v>386</v>
      </c>
      <c r="J8" s="705"/>
      <c r="K8" s="2019"/>
      <c r="L8" s="2019"/>
      <c r="M8" s="2019"/>
      <c r="N8" s="620"/>
      <c r="O8" s="620"/>
      <c r="P8" s="637"/>
      <c r="Q8" s="643"/>
      <c r="R8" s="623" t="s">
        <v>1060</v>
      </c>
      <c r="S8" s="1621">
        <v>0.72916666666666663</v>
      </c>
      <c r="T8" s="1998" t="s">
        <v>644</v>
      </c>
      <c r="U8" s="1998"/>
      <c r="V8" s="1998"/>
      <c r="X8" s="1091">
        <v>1</v>
      </c>
      <c r="Y8" s="1092" t="str">
        <f>C8</f>
        <v>mel tipo 00</v>
      </c>
    </row>
    <row r="9" spans="1:27" thickBot="1">
      <c r="A9" s="620"/>
      <c r="B9" s="690">
        <v>0.15</v>
      </c>
      <c r="C9" s="621" t="s">
        <v>389</v>
      </c>
      <c r="D9" s="691"/>
      <c r="E9" s="621"/>
      <c r="F9" s="626" t="s">
        <v>373</v>
      </c>
      <c r="G9" s="614"/>
      <c r="H9" s="272">
        <v>270</v>
      </c>
      <c r="I9" s="701" t="s">
        <v>369</v>
      </c>
      <c r="J9" s="705"/>
      <c r="K9" s="334"/>
      <c r="L9" s="619" t="str">
        <f>C9</f>
        <v>aktiv surdej</v>
      </c>
      <c r="M9" s="607"/>
      <c r="N9" s="620"/>
      <c r="O9" s="620"/>
      <c r="P9" s="637"/>
      <c r="Q9" s="643"/>
      <c r="R9" s="620"/>
      <c r="S9" s="1807">
        <f ca="1">TODAY()+MOD(MATCH(S7,{"Mandag";"Tirsdag";"Onsdag";"Torsdag";"Fredag";"Lørdag";"Søndag"},0)-WEEKDAY(TODAY(),2)+7,7)</f>
        <v>45926</v>
      </c>
      <c r="T9" s="868"/>
      <c r="U9" s="675"/>
      <c r="V9" s="614"/>
      <c r="X9" s="327">
        <f>IF(K9="",B9,K9)</f>
        <v>0.15</v>
      </c>
      <c r="Y9" s="1079" t="str">
        <f>C9</f>
        <v>aktiv surdej</v>
      </c>
    </row>
    <row r="10" spans="1:27" thickTop="1">
      <c r="A10" s="620"/>
      <c r="B10" s="690">
        <v>0.6</v>
      </c>
      <c r="C10" s="621" t="s">
        <v>1026</v>
      </c>
      <c r="D10" s="691"/>
      <c r="E10" s="700"/>
      <c r="F10" s="2006" t="s">
        <v>382</v>
      </c>
      <c r="G10" s="2006"/>
      <c r="H10" s="2017">
        <f>H8*H9</f>
        <v>1620</v>
      </c>
      <c r="I10" s="2016" t="s">
        <v>369</v>
      </c>
      <c r="J10" s="705"/>
      <c r="K10" s="334"/>
      <c r="L10" s="619" t="str">
        <f>C10</f>
        <v>hydrering</v>
      </c>
      <c r="M10" s="607"/>
      <c r="N10" s="620"/>
      <c r="O10" s="620"/>
      <c r="P10" s="637"/>
      <c r="Q10" s="643"/>
      <c r="R10" s="620"/>
      <c r="S10" s="614"/>
      <c r="T10" s="868"/>
      <c r="U10" s="675"/>
      <c r="V10" s="614"/>
      <c r="X10" s="327">
        <f>IF(K10="",B10,K10)</f>
        <v>0.6</v>
      </c>
      <c r="Y10" s="328" t="str">
        <f>C10</f>
        <v>hydrering</v>
      </c>
    </row>
    <row r="11" spans="1:27" thickBot="1">
      <c r="A11" s="620"/>
      <c r="B11" s="707">
        <v>2.5000000000000001E-2</v>
      </c>
      <c r="C11" s="640" t="s">
        <v>375</v>
      </c>
      <c r="D11" s="694"/>
      <c r="E11" s="621"/>
      <c r="F11" s="2006"/>
      <c r="G11" s="2006"/>
      <c r="H11" s="2018"/>
      <c r="I11" s="2016"/>
      <c r="J11" s="705"/>
      <c r="K11" s="335"/>
      <c r="L11" s="619" t="str">
        <f>C11</f>
        <v>salt</v>
      </c>
      <c r="M11" s="607"/>
      <c r="N11" s="620"/>
      <c r="O11" s="620"/>
      <c r="P11" s="637"/>
      <c r="Q11" s="643"/>
      <c r="R11" s="1546" t="s">
        <v>1089</v>
      </c>
      <c r="S11" s="1547"/>
      <c r="T11" s="1560">
        <v>1.7361111111111112E-2</v>
      </c>
      <c r="U11" s="1990" t="s">
        <v>644</v>
      </c>
      <c r="V11" s="1990"/>
      <c r="X11" s="327">
        <f>IF(K11="",B11,K11)</f>
        <v>2.5000000000000001E-2</v>
      </c>
      <c r="Y11" s="328" t="str">
        <f>C11</f>
        <v>salt</v>
      </c>
    </row>
    <row r="12" spans="1:27" ht="15.75">
      <c r="A12" s="620"/>
      <c r="B12" s="620"/>
      <c r="C12" s="620"/>
      <c r="D12" s="620"/>
      <c r="E12" s="620"/>
      <c r="F12" s="698"/>
      <c r="G12" s="620"/>
      <c r="H12" s="620"/>
      <c r="I12" s="620"/>
      <c r="J12" s="631"/>
      <c r="K12" s="699"/>
      <c r="L12" s="607"/>
      <c r="M12" s="607"/>
      <c r="N12" s="681"/>
      <c r="O12" s="620"/>
      <c r="P12" s="637"/>
      <c r="Q12" s="643"/>
      <c r="R12" s="623" t="s">
        <v>1079</v>
      </c>
      <c r="S12" s="1544"/>
      <c r="T12" s="1561">
        <v>2.0833333333333332E-2</v>
      </c>
      <c r="U12" s="813" t="s">
        <v>644</v>
      </c>
      <c r="V12" s="813"/>
    </row>
    <row r="13" spans="1:27" ht="18.75">
      <c r="A13" s="607"/>
      <c r="B13" s="849"/>
      <c r="C13" s="1954" t="str">
        <f>C2</f>
        <v>Bagerkokkens surdejspizza</v>
      </c>
      <c r="D13" s="1954"/>
      <c r="E13" s="1954"/>
      <c r="F13" s="1954"/>
      <c r="G13" s="1954"/>
      <c r="H13" s="1954"/>
      <c r="I13" s="1954"/>
      <c r="J13" s="9"/>
      <c r="K13" s="762"/>
      <c r="L13" s="9"/>
      <c r="M13" s="9"/>
      <c r="N13" s="9"/>
      <c r="O13" s="10"/>
      <c r="P13" s="644"/>
      <c r="Q13" s="643"/>
      <c r="R13" s="1578" t="s">
        <v>1076</v>
      </c>
      <c r="S13" s="1577"/>
      <c r="T13" s="1580">
        <v>0.20833333333333334</v>
      </c>
      <c r="U13" s="813" t="s">
        <v>644</v>
      </c>
      <c r="V13" s="813"/>
    </row>
    <row r="14" spans="1:27" ht="15" customHeight="1">
      <c r="A14" s="607"/>
      <c r="B14" s="850"/>
      <c r="C14" s="1887"/>
      <c r="D14" s="1887"/>
      <c r="E14" s="1887"/>
      <c r="F14" s="1887"/>
      <c r="G14" s="1887"/>
      <c r="H14" s="1887"/>
      <c r="I14" s="1887"/>
      <c r="J14" s="5"/>
      <c r="O14" s="6"/>
      <c r="P14" s="644"/>
      <c r="Q14" s="643"/>
      <c r="R14" s="1578" t="s">
        <v>1077</v>
      </c>
      <c r="S14" s="1544"/>
      <c r="T14" s="1579">
        <v>1.625</v>
      </c>
      <c r="U14" s="813" t="s">
        <v>644</v>
      </c>
      <c r="V14" s="813"/>
    </row>
    <row r="15" spans="1:27" ht="15.75" customHeight="1">
      <c r="A15" s="607"/>
      <c r="B15" s="7"/>
      <c r="C15" s="824"/>
      <c r="D15" s="824"/>
      <c r="E15" s="824"/>
      <c r="F15" s="824"/>
      <c r="G15" s="824"/>
      <c r="H15" s="824"/>
      <c r="I15" s="5"/>
      <c r="J15" s="5"/>
      <c r="O15" s="758"/>
      <c r="P15" s="644"/>
      <c r="Q15" s="643"/>
      <c r="R15" s="607"/>
      <c r="S15" s="607"/>
      <c r="T15" s="607"/>
      <c r="U15" s="607"/>
      <c r="V15" s="607"/>
      <c r="X15" s="1266" t="s">
        <v>847</v>
      </c>
      <c r="Y15" s="1267"/>
      <c r="Z15" s="1267"/>
      <c r="AA15" s="1267"/>
    </row>
    <row r="16" spans="1:27" ht="15" customHeight="1">
      <c r="A16" s="607"/>
      <c r="B16" s="1386" t="s">
        <v>746</v>
      </c>
      <c r="C16" s="5" t="s">
        <v>762</v>
      </c>
      <c r="E16" s="5"/>
      <c r="F16" s="5"/>
      <c r="G16" s="5"/>
      <c r="H16" s="5"/>
      <c r="I16" s="5"/>
      <c r="J16" s="5"/>
      <c r="K16" s="1919" t="s">
        <v>1048</v>
      </c>
      <c r="L16" s="1920"/>
      <c r="M16" s="1920"/>
      <c r="N16" s="1921"/>
      <c r="O16" s="758"/>
      <c r="P16" s="644"/>
      <c r="Q16" s="643"/>
      <c r="R16" s="1546" t="str">
        <f ca="1">R22</f>
        <v>Dag 3</v>
      </c>
      <c r="S16" s="1547"/>
      <c r="T16" s="607"/>
      <c r="U16" s="607"/>
      <c r="V16" s="813"/>
    </row>
    <row r="17" spans="1:22" ht="15.75">
      <c r="A17" s="607"/>
      <c r="B17" s="1386" t="s">
        <v>746</v>
      </c>
      <c r="C17" s="5" t="s">
        <v>831</v>
      </c>
      <c r="E17" s="5"/>
      <c r="F17" s="5"/>
      <c r="G17" s="5"/>
      <c r="H17" s="5"/>
      <c r="I17" s="5"/>
      <c r="J17" s="5"/>
      <c r="K17" s="2020" t="str">
        <f>H8&amp;" pizzaer a "&amp;ROUND(H9,0)&amp;" g.  -   "&amp;ROUND(X10*100,0)&amp;"% hydrering"</f>
        <v>6 pizzaer a 270 g.  -   60% hydrering</v>
      </c>
      <c r="L17" s="2021"/>
      <c r="M17" s="2021"/>
      <c r="N17" s="2022"/>
      <c r="O17" s="758"/>
      <c r="P17" s="644"/>
      <c r="Q17" s="643"/>
      <c r="R17" s="623" t="s">
        <v>1078</v>
      </c>
      <c r="S17" s="620"/>
      <c r="T17" s="1572">
        <v>0.16666666666666666</v>
      </c>
      <c r="U17" s="813" t="s">
        <v>644</v>
      </c>
      <c r="V17" s="1548"/>
    </row>
    <row r="18" spans="1:22" ht="15.75">
      <c r="A18" s="607"/>
      <c r="B18" s="1386" t="s">
        <v>746</v>
      </c>
      <c r="C18" s="851" t="s">
        <v>758</v>
      </c>
      <c r="E18" s="5"/>
      <c r="F18" s="5"/>
      <c r="G18" s="5"/>
      <c r="H18" s="5"/>
      <c r="I18" s="5"/>
      <c r="J18" s="5"/>
      <c r="K18" s="1418">
        <f>$H$10*(X8/SUM($X$8:$X$11))</f>
        <v>912.67605633802816</v>
      </c>
      <c r="L18" s="292" t="s">
        <v>12</v>
      </c>
      <c r="N18" s="1767">
        <f>X8</f>
        <v>1</v>
      </c>
      <c r="O18" s="758"/>
      <c r="P18" s="644"/>
      <c r="Q18" s="643"/>
      <c r="R18" s="607"/>
      <c r="S18" s="607"/>
      <c r="T18" s="607"/>
      <c r="U18" s="607"/>
      <c r="V18" s="607"/>
    </row>
    <row r="19" spans="1:22" thickBot="1">
      <c r="A19" s="607"/>
      <c r="B19" s="7"/>
      <c r="C19" s="11"/>
      <c r="D19" s="851"/>
      <c r="E19" s="5"/>
      <c r="F19" s="5"/>
      <c r="G19" s="5"/>
      <c r="H19" s="5"/>
      <c r="I19" s="5"/>
      <c r="J19" s="5"/>
      <c r="K19" s="1418">
        <f>$H$10*(X9/SUM($X$8:$X$11))</f>
        <v>136.90140845070422</v>
      </c>
      <c r="L19" s="292" t="s">
        <v>390</v>
      </c>
      <c r="N19" s="1767">
        <f>X9</f>
        <v>0.15</v>
      </c>
      <c r="O19" s="758"/>
      <c r="P19" s="644"/>
      <c r="Q19" s="643"/>
      <c r="R19" s="1569" t="s">
        <v>1073</v>
      </c>
      <c r="S19" s="1570"/>
      <c r="T19" s="1568">
        <f>SUM(T11:T18)</f>
        <v>2.0381944444444442</v>
      </c>
      <c r="U19" s="1571" t="s">
        <v>644</v>
      </c>
      <c r="V19" s="607"/>
    </row>
    <row r="20" spans="1:22" ht="15" customHeight="1">
      <c r="A20" s="607"/>
      <c r="B20" s="7"/>
      <c r="C20" s="5"/>
      <c r="D20" s="5"/>
      <c r="E20" s="5"/>
      <c r="F20" s="5"/>
      <c r="G20" s="5"/>
      <c r="H20" s="5"/>
      <c r="I20" s="5"/>
      <c r="J20" s="5"/>
      <c r="K20" s="1418">
        <f>$H$10*(X10/SUM($X$8:$X$11))</f>
        <v>547.6056338028169</v>
      </c>
      <c r="L20" s="292" t="s">
        <v>444</v>
      </c>
      <c r="N20" s="1767">
        <f>X10</f>
        <v>0.6</v>
      </c>
      <c r="O20" s="758"/>
      <c r="P20" s="644"/>
      <c r="Q20" s="643"/>
      <c r="R20" s="614"/>
      <c r="S20" s="1543"/>
      <c r="T20" s="1543"/>
      <c r="U20" s="1541"/>
      <c r="V20" s="607"/>
    </row>
    <row r="21" spans="1:22" ht="15.75">
      <c r="A21" s="607"/>
      <c r="B21" s="7"/>
      <c r="C21" s="5"/>
      <c r="D21" s="5"/>
      <c r="E21" s="5"/>
      <c r="F21" s="5"/>
      <c r="G21" s="5"/>
      <c r="H21" s="5"/>
      <c r="I21" s="5"/>
      <c r="J21" s="5"/>
      <c r="K21" s="1419">
        <f>$H$10*(X11/SUM($X$8:$X$11))</f>
        <v>22.816901408450708</v>
      </c>
      <c r="L21" s="926" t="s">
        <v>29</v>
      </c>
      <c r="M21" s="82"/>
      <c r="N21" s="1768">
        <f>X11</f>
        <v>2.5000000000000001E-2</v>
      </c>
      <c r="O21" s="758"/>
      <c r="P21" s="644"/>
      <c r="Q21" s="643"/>
      <c r="R21" s="1551" t="s">
        <v>0</v>
      </c>
      <c r="S21" s="1991">
        <f ca="1">IF(S9="","?",S9-T19+S8)</f>
        <v>45924.690972222219</v>
      </c>
      <c r="T21" s="1991"/>
      <c r="U21" s="1991"/>
      <c r="V21" s="607"/>
    </row>
    <row r="22" spans="1:22" ht="15.75">
      <c r="A22" s="607"/>
      <c r="B22" s="7"/>
      <c r="O22" s="758"/>
      <c r="P22" s="644"/>
      <c r="Q22" s="643"/>
      <c r="R22" s="1551" t="str">
        <f ca="1">"Dag "&amp;IF(S9="","?",_xlfn.DAYS(S22,S21)+1)</f>
        <v>Dag 3</v>
      </c>
      <c r="S22" s="1991">
        <f ca="1">IF(S9="","?",S21+SUM(T11:T14))</f>
        <v>45926.5625</v>
      </c>
      <c r="T22" s="1991"/>
      <c r="U22" s="1991"/>
      <c r="V22" s="607"/>
    </row>
    <row r="23" spans="1:22" ht="18.75">
      <c r="A23" s="607"/>
      <c r="B23" s="1379" t="s">
        <v>1035</v>
      </c>
      <c r="C23" s="1420" t="s">
        <v>0</v>
      </c>
      <c r="D23" s="12"/>
      <c r="E23" s="3"/>
      <c r="F23" s="3"/>
      <c r="G23" s="3"/>
      <c r="H23" s="3"/>
      <c r="I23" s="3"/>
      <c r="J23" s="3"/>
      <c r="K23" s="2015" t="str">
        <f ca="1">TEXT(S21,"dddd")</f>
        <v>onsdag</v>
      </c>
      <c r="L23" s="2015"/>
      <c r="M23" s="1992">
        <f ca="1">IF($S$8="","",S21)</f>
        <v>45924.690972222219</v>
      </c>
      <c r="N23" s="1992"/>
      <c r="O23" s="758"/>
      <c r="P23" s="644"/>
      <c r="Q23" s="643"/>
      <c r="R23" s="607"/>
      <c r="S23" s="607"/>
      <c r="T23" s="607"/>
      <c r="U23" s="607"/>
      <c r="V23" s="607"/>
    </row>
    <row r="24" spans="1:22" thickBot="1">
      <c r="A24" s="607"/>
      <c r="B24" s="1057"/>
      <c r="O24" s="6"/>
      <c r="P24" s="644"/>
      <c r="Q24" s="652"/>
      <c r="R24" s="886"/>
      <c r="S24" s="886"/>
      <c r="T24" s="886"/>
      <c r="U24" s="1540"/>
      <c r="V24" s="1540"/>
    </row>
    <row r="25" spans="1:22" ht="18">
      <c r="A25" s="607"/>
      <c r="B25" s="1398" t="s">
        <v>1034</v>
      </c>
      <c r="C25" s="708">
        <v>1</v>
      </c>
      <c r="D25" s="425" t="s">
        <v>346</v>
      </c>
      <c r="E25" s="425"/>
      <c r="F25" s="425"/>
      <c r="G25" s="425"/>
      <c r="H25" s="425"/>
      <c r="I25" s="425"/>
      <c r="J25" s="425"/>
      <c r="K25" s="1220" t="str">
        <f>ROUND(K18,0)&amp;" g. mel, "&amp;ROUND(K20,0)&amp;" ml. vand, "&amp;ROUND(K19,0)&amp;" g. surdej"</f>
        <v>913 g. mel, 548 ml. vand, 137 g. surdej</v>
      </c>
      <c r="L25" s="533"/>
      <c r="M25" s="533"/>
      <c r="N25" s="534"/>
      <c r="O25" s="758"/>
      <c r="P25" s="644"/>
      <c r="Q25" s="643"/>
      <c r="R25" s="620"/>
      <c r="S25" s="620"/>
      <c r="T25" s="620"/>
      <c r="U25" s="607"/>
      <c r="V25" s="607"/>
    </row>
    <row r="26" spans="1:22" ht="15.75" customHeight="1">
      <c r="A26" s="607"/>
      <c r="B26" s="44"/>
      <c r="C26" s="105"/>
      <c r="D26" s="105"/>
      <c r="E26" s="105"/>
      <c r="F26" s="105"/>
      <c r="G26" s="105"/>
      <c r="H26" s="105"/>
      <c r="I26" s="105"/>
      <c r="J26" s="105"/>
      <c r="K26" s="105"/>
      <c r="L26" s="105"/>
      <c r="M26" s="105"/>
      <c r="N26" s="105"/>
      <c r="O26" s="6"/>
      <c r="P26" s="644"/>
      <c r="Q26" s="607"/>
      <c r="R26" s="674" t="s">
        <v>358</v>
      </c>
      <c r="S26" s="616"/>
      <c r="T26" s="613"/>
      <c r="U26" s="607"/>
      <c r="V26" s="607"/>
    </row>
    <row r="27" spans="1:22" ht="18">
      <c r="A27" s="607"/>
      <c r="B27" s="1398" t="s">
        <v>1034</v>
      </c>
      <c r="C27" s="708">
        <v>2</v>
      </c>
      <c r="D27" s="425" t="s">
        <v>347</v>
      </c>
      <c r="E27" s="425"/>
      <c r="F27" s="425"/>
      <c r="G27" s="425"/>
      <c r="H27" s="425"/>
      <c r="I27" s="425"/>
      <c r="J27" s="425"/>
      <c r="K27" s="425"/>
      <c r="L27" s="425"/>
      <c r="M27" s="105"/>
      <c r="N27" s="105"/>
      <c r="O27" s="758"/>
      <c r="P27" s="644"/>
      <c r="Q27" s="607"/>
      <c r="R27" s="610" t="s">
        <v>353</v>
      </c>
      <c r="S27" s="617"/>
      <c r="T27" s="607"/>
      <c r="U27" s="607"/>
      <c r="V27" s="607"/>
    </row>
    <row r="28" spans="1:22" ht="15.75">
      <c r="A28" s="607"/>
      <c r="B28" s="44"/>
      <c r="C28" s="105"/>
      <c r="D28" s="105"/>
      <c r="E28" s="105"/>
      <c r="F28" s="105"/>
      <c r="G28" s="105"/>
      <c r="H28" s="105"/>
      <c r="I28" s="105"/>
      <c r="J28" s="105"/>
      <c r="K28" s="105"/>
      <c r="L28" s="105"/>
      <c r="M28" s="105"/>
      <c r="N28" s="105"/>
      <c r="O28" s="6"/>
      <c r="P28" s="644"/>
      <c r="Q28" s="607"/>
      <c r="R28" s="610" t="s">
        <v>367</v>
      </c>
      <c r="S28" s="617"/>
      <c r="T28" s="607"/>
      <c r="U28" s="607"/>
      <c r="V28" s="607"/>
    </row>
    <row r="29" spans="1:22" ht="18">
      <c r="A29" s="607"/>
      <c r="B29" s="1398" t="s">
        <v>1034</v>
      </c>
      <c r="C29" s="708">
        <v>3</v>
      </c>
      <c r="D29" s="425" t="s">
        <v>677</v>
      </c>
      <c r="E29" s="425"/>
      <c r="F29" s="425"/>
      <c r="G29" s="425"/>
      <c r="H29" s="425"/>
      <c r="I29" s="425"/>
      <c r="J29" s="425"/>
      <c r="K29" s="425"/>
      <c r="L29" s="425"/>
      <c r="M29" s="105"/>
      <c r="N29" s="105"/>
      <c r="O29" s="758"/>
      <c r="P29" s="644"/>
      <c r="Q29" s="607"/>
      <c r="R29" s="610" t="s">
        <v>359</v>
      </c>
      <c r="S29" s="607"/>
      <c r="T29" s="607"/>
      <c r="U29" s="607"/>
      <c r="V29" s="607"/>
    </row>
    <row r="30" spans="1:22" ht="15.75">
      <c r="A30" s="607"/>
      <c r="B30" s="44"/>
      <c r="C30" s="105"/>
      <c r="D30" s="105"/>
      <c r="E30" s="105"/>
      <c r="F30" s="105"/>
      <c r="G30" s="105"/>
      <c r="H30" s="105"/>
      <c r="I30" s="105"/>
      <c r="J30" s="105"/>
      <c r="K30" s="105"/>
      <c r="L30" s="105"/>
      <c r="M30" s="105"/>
      <c r="N30" s="105"/>
      <c r="O30" s="6"/>
      <c r="P30" s="644"/>
      <c r="Q30" s="607"/>
      <c r="R30" s="608" t="s">
        <v>360</v>
      </c>
      <c r="S30" s="607"/>
      <c r="T30" s="607"/>
      <c r="U30" s="607"/>
      <c r="V30" s="607"/>
    </row>
    <row r="31" spans="1:22" ht="18">
      <c r="A31" s="607"/>
      <c r="B31" s="1398" t="s">
        <v>1034</v>
      </c>
      <c r="C31" s="708">
        <v>4</v>
      </c>
      <c r="D31" s="425" t="s">
        <v>678</v>
      </c>
      <c r="E31" s="425"/>
      <c r="F31" s="425"/>
      <c r="G31" s="425"/>
      <c r="H31" s="425"/>
      <c r="I31" s="425"/>
      <c r="J31" s="425"/>
      <c r="K31" s="1220" t="str">
        <f>ROUND(K21,0)&amp;" "&amp;L21</f>
        <v>23 g salt</v>
      </c>
      <c r="L31" s="533"/>
      <c r="M31" s="533"/>
      <c r="N31" s="534"/>
      <c r="O31" s="758"/>
      <c r="P31" s="644"/>
      <c r="Q31" s="607"/>
      <c r="R31" s="610" t="s">
        <v>354</v>
      </c>
      <c r="S31" s="617"/>
      <c r="T31" s="607"/>
      <c r="U31" s="607"/>
      <c r="V31" s="607"/>
    </row>
    <row r="32" spans="1:22" ht="15.75">
      <c r="A32" s="607"/>
      <c r="B32" s="44"/>
      <c r="C32" s="105"/>
      <c r="D32" s="105"/>
      <c r="E32" s="105"/>
      <c r="F32" s="105"/>
      <c r="G32" s="105"/>
      <c r="H32" s="105"/>
      <c r="I32" s="105"/>
      <c r="J32" s="105"/>
      <c r="K32" s="105"/>
      <c r="L32" s="105"/>
      <c r="M32" s="105"/>
      <c r="N32" s="105"/>
      <c r="O32" s="6"/>
      <c r="P32" s="644"/>
      <c r="Q32" s="607"/>
      <c r="R32" s="607"/>
      <c r="S32" s="607"/>
      <c r="T32" s="607"/>
      <c r="U32" s="607"/>
      <c r="V32" s="607"/>
    </row>
    <row r="33" spans="1:22" ht="18">
      <c r="A33" s="607"/>
      <c r="B33" s="1398" t="s">
        <v>1034</v>
      </c>
      <c r="C33" s="708">
        <v>5</v>
      </c>
      <c r="D33" s="425" t="s">
        <v>679</v>
      </c>
      <c r="E33" s="425"/>
      <c r="F33" s="425"/>
      <c r="G33" s="425"/>
      <c r="H33" s="425"/>
      <c r="I33" s="425"/>
      <c r="J33" s="425"/>
      <c r="K33" s="425"/>
      <c r="L33" s="425"/>
      <c r="M33" s="425"/>
      <c r="N33" s="425"/>
      <c r="O33" s="758"/>
      <c r="P33" s="644"/>
      <c r="Q33" s="607"/>
      <c r="R33" s="615" t="s">
        <v>361</v>
      </c>
      <c r="S33" s="618"/>
      <c r="T33" s="607"/>
      <c r="U33" s="607"/>
      <c r="V33" s="607"/>
    </row>
    <row r="34" spans="1:22" ht="15.75">
      <c r="A34" s="607"/>
      <c r="B34" s="44"/>
      <c r="C34" s="105"/>
      <c r="D34" s="105"/>
      <c r="E34" s="105"/>
      <c r="F34" s="105"/>
      <c r="G34" s="105"/>
      <c r="H34" s="105"/>
      <c r="I34" s="105"/>
      <c r="J34" s="105"/>
      <c r="K34" s="105"/>
      <c r="L34" s="105"/>
      <c r="M34" s="105"/>
      <c r="N34" s="105"/>
      <c r="O34" s="6"/>
      <c r="P34" s="644"/>
      <c r="Q34" s="607"/>
      <c r="R34" s="610" t="s">
        <v>338</v>
      </c>
      <c r="S34" s="607"/>
      <c r="T34" s="192">
        <v>25</v>
      </c>
      <c r="U34" s="607"/>
      <c r="V34" s="607"/>
    </row>
    <row r="35" spans="1:22" ht="18">
      <c r="A35" s="607"/>
      <c r="B35" s="1398" t="s">
        <v>1034</v>
      </c>
      <c r="C35" s="708">
        <v>6</v>
      </c>
      <c r="D35" s="425" t="s">
        <v>680</v>
      </c>
      <c r="E35" s="425"/>
      <c r="F35" s="425"/>
      <c r="G35" s="425"/>
      <c r="H35" s="425"/>
      <c r="I35" s="425"/>
      <c r="J35" s="425"/>
      <c r="K35" s="425"/>
      <c r="L35" s="425"/>
      <c r="M35" s="425"/>
      <c r="N35" s="425"/>
      <c r="O35" s="758"/>
      <c r="P35" s="644"/>
      <c r="Q35" s="607"/>
      <c r="R35" s="645" t="s">
        <v>339</v>
      </c>
      <c r="S35" s="607"/>
      <c r="T35" s="190"/>
      <c r="U35" s="607"/>
      <c r="V35" s="607"/>
    </row>
    <row r="36" spans="1:22" ht="15.75">
      <c r="A36" s="607"/>
      <c r="B36" s="44"/>
      <c r="C36" s="105"/>
      <c r="D36" s="105"/>
      <c r="E36" s="105"/>
      <c r="F36" s="105"/>
      <c r="G36" s="105"/>
      <c r="H36" s="105"/>
      <c r="I36" s="105"/>
      <c r="J36" s="105"/>
      <c r="K36" s="105"/>
      <c r="L36" s="105"/>
      <c r="M36" s="105"/>
      <c r="N36" s="105"/>
      <c r="O36" s="6"/>
      <c r="P36" s="644"/>
      <c r="Q36" s="607"/>
      <c r="R36" s="645" t="s">
        <v>340</v>
      </c>
      <c r="S36" s="607"/>
      <c r="T36" s="190">
        <v>10</v>
      </c>
      <c r="U36" s="607"/>
      <c r="V36" s="607"/>
    </row>
    <row r="37" spans="1:22" ht="18">
      <c r="A37" s="607"/>
      <c r="B37" s="1398" t="s">
        <v>1034</v>
      </c>
      <c r="C37" s="708">
        <v>7</v>
      </c>
      <c r="D37" s="425" t="s">
        <v>681</v>
      </c>
      <c r="E37" s="425"/>
      <c r="F37" s="425"/>
      <c r="G37" s="425"/>
      <c r="H37" s="425"/>
      <c r="I37" s="425"/>
      <c r="J37" s="425"/>
      <c r="K37" s="425"/>
      <c r="L37" s="425"/>
      <c r="M37" s="425"/>
      <c r="N37" s="425"/>
      <c r="O37" s="758"/>
      <c r="P37" s="644"/>
      <c r="Q37" s="607"/>
      <c r="R37" s="612" t="s">
        <v>341</v>
      </c>
      <c r="S37" s="613"/>
      <c r="T37" s="191"/>
      <c r="U37" s="607"/>
      <c r="V37" s="607"/>
    </row>
    <row r="38" spans="1:22" ht="16.5" customHeight="1">
      <c r="A38" s="607"/>
      <c r="B38" s="44"/>
      <c r="C38" s="105"/>
      <c r="D38" s="105"/>
      <c r="E38" s="105"/>
      <c r="F38" s="105"/>
      <c r="G38" s="105"/>
      <c r="H38" s="105"/>
      <c r="I38" s="105"/>
      <c r="J38" s="105"/>
      <c r="K38" s="105"/>
      <c r="L38" s="105"/>
      <c r="M38" s="425"/>
      <c r="N38" s="105"/>
      <c r="O38" s="6"/>
      <c r="P38" s="644"/>
      <c r="Q38" s="607"/>
      <c r="R38" s="645" t="s">
        <v>342</v>
      </c>
      <c r="S38" s="607"/>
      <c r="T38" s="1552" t="str">
        <f>IF(OR(T34="",T35=""),"",(T34*2)-T35-T36-(T37*2)&amp;"°")</f>
        <v/>
      </c>
      <c r="U38" s="607"/>
      <c r="V38" s="607"/>
    </row>
    <row r="39" spans="1:22" ht="16.5" customHeight="1">
      <c r="A39" s="607"/>
      <c r="B39" s="1398" t="s">
        <v>1034</v>
      </c>
      <c r="C39" s="708">
        <v>8</v>
      </c>
      <c r="D39" s="425" t="str">
        <f>"Del dejen i "&amp;H8&amp;" klumper af ca. "&amp;ROUND(H9,0)&amp;" g."</f>
        <v>Del dejen i 6 klumper af ca. 270 g.</v>
      </c>
      <c r="E39" s="425"/>
      <c r="F39" s="425"/>
      <c r="G39" s="425"/>
      <c r="H39" s="425"/>
      <c r="I39" s="425"/>
      <c r="J39" s="425"/>
      <c r="K39" s="425"/>
      <c r="L39" s="425"/>
      <c r="M39" s="425"/>
      <c r="N39" s="425"/>
      <c r="O39" s="758"/>
      <c r="P39" s="644"/>
      <c r="Q39" s="607"/>
      <c r="R39" s="647" t="s">
        <v>343</v>
      </c>
      <c r="S39" s="695"/>
      <c r="T39" s="695"/>
      <c r="U39" s="607"/>
      <c r="V39" s="607"/>
    </row>
    <row r="40" spans="1:22" ht="16.5" customHeight="1">
      <c r="A40" s="607"/>
      <c r="B40" s="44"/>
      <c r="C40" s="105"/>
      <c r="D40" s="105"/>
      <c r="E40" s="105"/>
      <c r="F40" s="105"/>
      <c r="G40" s="105"/>
      <c r="H40" s="105"/>
      <c r="I40" s="105"/>
      <c r="J40" s="105"/>
      <c r="K40" s="105"/>
      <c r="L40" s="105"/>
      <c r="M40" s="105"/>
      <c r="N40" s="105"/>
      <c r="O40" s="6"/>
      <c r="P40" s="644"/>
      <c r="Q40" s="607"/>
      <c r="R40" s="608"/>
      <c r="S40" s="608"/>
      <c r="T40" s="608"/>
      <c r="U40" s="607"/>
      <c r="V40" s="607"/>
    </row>
    <row r="41" spans="1:22" ht="16.5" customHeight="1">
      <c r="A41" s="607"/>
      <c r="B41" s="1398" t="s">
        <v>1034</v>
      </c>
      <c r="C41" s="708">
        <v>9</v>
      </c>
      <c r="D41" s="425" t="s">
        <v>830</v>
      </c>
      <c r="E41" s="425"/>
      <c r="F41" s="425"/>
      <c r="G41" s="425"/>
      <c r="H41" s="425"/>
      <c r="I41" s="425"/>
      <c r="J41" s="425"/>
      <c r="K41" s="425"/>
      <c r="L41" s="425"/>
      <c r="M41" s="425"/>
      <c r="N41" s="425"/>
      <c r="O41" s="758"/>
      <c r="P41" s="644"/>
      <c r="Q41" s="607"/>
      <c r="R41" s="609" t="s">
        <v>362</v>
      </c>
      <c r="S41" s="609"/>
      <c r="T41" s="697"/>
      <c r="U41" s="607"/>
      <c r="V41" s="607"/>
    </row>
    <row r="42" spans="1:22" ht="16.5" customHeight="1">
      <c r="A42" s="607"/>
      <c r="B42" s="7"/>
      <c r="C42" s="708"/>
      <c r="D42" s="425"/>
      <c r="E42" s="425"/>
      <c r="F42" s="425"/>
      <c r="G42" s="425"/>
      <c r="H42" s="425"/>
      <c r="I42" s="425"/>
      <c r="J42" s="425"/>
      <c r="K42" s="425"/>
      <c r="L42" s="425"/>
      <c r="M42" s="425"/>
      <c r="N42" s="425"/>
      <c r="O42" s="758"/>
      <c r="P42" s="644"/>
      <c r="Q42" s="607"/>
      <c r="R42" s="610" t="s">
        <v>364</v>
      </c>
      <c r="S42" s="608"/>
      <c r="T42" s="608"/>
      <c r="U42" s="607"/>
      <c r="V42" s="607"/>
    </row>
    <row r="43" spans="1:22" ht="16.5" customHeight="1">
      <c r="A43" s="607"/>
      <c r="B43" s="7"/>
      <c r="C43" s="708"/>
      <c r="D43" s="425"/>
      <c r="E43" s="425"/>
      <c r="F43" s="425"/>
      <c r="G43" s="425"/>
      <c r="H43" s="425"/>
      <c r="I43" s="425"/>
      <c r="J43" s="425"/>
      <c r="K43" s="425"/>
      <c r="L43" s="425"/>
      <c r="M43" s="425"/>
      <c r="N43" s="425"/>
      <c r="O43" s="758"/>
      <c r="P43" s="644"/>
      <c r="Q43" s="607"/>
      <c r="R43" s="610" t="s">
        <v>363</v>
      </c>
      <c r="S43" s="608"/>
      <c r="T43" s="608"/>
      <c r="U43" s="607"/>
      <c r="V43" s="607"/>
    </row>
    <row r="44" spans="1:22" ht="16.5" customHeight="1">
      <c r="A44" s="607"/>
      <c r="B44" s="2"/>
      <c r="C44" s="1420" t="str">
        <f ca="1">IF(S9="","Dag 2-3",R22)</f>
        <v>Dag 3</v>
      </c>
      <c r="D44" s="535"/>
      <c r="E44" s="536"/>
      <c r="F44" s="536"/>
      <c r="G44" s="536"/>
      <c r="H44" s="536"/>
      <c r="I44" s="536"/>
      <c r="J44" s="536"/>
      <c r="K44" s="2015" t="str">
        <f ca="1">TEXT(S22,"dddd")</f>
        <v>fredag</v>
      </c>
      <c r="L44" s="2015"/>
      <c r="M44" s="1992">
        <f ca="1">IF($S$8="","",S22)</f>
        <v>45926.5625</v>
      </c>
      <c r="N44" s="1992"/>
      <c r="O44" s="6"/>
      <c r="P44" s="644"/>
      <c r="Q44" s="607"/>
      <c r="R44" s="651" t="s">
        <v>365</v>
      </c>
      <c r="S44" s="608"/>
      <c r="T44" s="607"/>
      <c r="U44" s="607"/>
      <c r="V44" s="607"/>
    </row>
    <row r="45" spans="1:22" ht="16.5" customHeight="1">
      <c r="A45" s="607"/>
      <c r="B45" s="44"/>
      <c r="C45" s="105"/>
      <c r="D45" s="105"/>
      <c r="E45" s="105"/>
      <c r="F45" s="105"/>
      <c r="G45" s="105"/>
      <c r="H45" s="105"/>
      <c r="I45" s="105"/>
      <c r="J45" s="105"/>
      <c r="K45" s="105"/>
      <c r="L45" s="105"/>
      <c r="M45" s="105"/>
      <c r="N45" s="105"/>
      <c r="O45" s="6"/>
      <c r="P45" s="644"/>
      <c r="Q45" s="607"/>
      <c r="R45" s="608" t="s">
        <v>474</v>
      </c>
      <c r="S45" s="611"/>
      <c r="T45" s="607"/>
      <c r="U45" s="607"/>
      <c r="V45" s="607"/>
    </row>
    <row r="46" spans="1:22" ht="16.5" customHeight="1">
      <c r="A46" s="607"/>
      <c r="B46" s="1398" t="s">
        <v>1034</v>
      </c>
      <c r="C46" s="708">
        <v>10</v>
      </c>
      <c r="D46" s="425" t="s">
        <v>761</v>
      </c>
      <c r="E46" s="425"/>
      <c r="F46" s="425"/>
      <c r="G46" s="425"/>
      <c r="H46" s="425"/>
      <c r="I46" s="425"/>
      <c r="J46" s="425"/>
      <c r="K46" s="425"/>
      <c r="L46" s="425"/>
      <c r="M46" s="425"/>
      <c r="N46" s="425"/>
      <c r="O46" s="6"/>
      <c r="P46" s="644"/>
      <c r="Q46" s="607"/>
      <c r="R46" s="608" t="s">
        <v>366</v>
      </c>
      <c r="S46" s="611"/>
      <c r="T46" s="607"/>
      <c r="U46" s="607"/>
      <c r="V46" s="607"/>
    </row>
    <row r="47" spans="1:22" ht="16.5" customHeight="1">
      <c r="A47" s="607"/>
      <c r="B47" s="44"/>
      <c r="O47" s="6"/>
      <c r="P47" s="644"/>
      <c r="Q47" s="607"/>
      <c r="R47" s="607"/>
      <c r="S47" s="607"/>
      <c r="T47" s="607"/>
      <c r="U47" s="607"/>
      <c r="V47" s="607"/>
    </row>
    <row r="48" spans="1:22" ht="16.5" customHeight="1">
      <c r="A48" s="607"/>
      <c r="B48" s="2"/>
      <c r="C48" s="82"/>
      <c r="D48" s="82"/>
      <c r="E48" s="82"/>
      <c r="F48" s="82"/>
      <c r="G48" s="82"/>
      <c r="H48" s="82"/>
      <c r="I48" s="82"/>
      <c r="J48" s="82"/>
      <c r="K48" s="82"/>
      <c r="L48" s="82"/>
      <c r="M48" s="760"/>
      <c r="N48" s="760" t="s">
        <v>523</v>
      </c>
      <c r="O48" s="761"/>
      <c r="P48" s="644"/>
      <c r="Q48" s="607"/>
      <c r="R48" s="651"/>
      <c r="S48" s="608"/>
      <c r="T48" s="607"/>
      <c r="U48" s="607"/>
      <c r="V48" s="607"/>
    </row>
    <row r="49" spans="1:22" ht="16.5" customHeight="1">
      <c r="A49" s="607"/>
      <c r="B49" s="607"/>
      <c r="C49" s="607"/>
      <c r="D49" s="607"/>
      <c r="E49" s="607"/>
      <c r="F49" s="607"/>
      <c r="G49" s="607"/>
      <c r="H49" s="607"/>
      <c r="I49" s="607"/>
      <c r="J49" s="607"/>
      <c r="K49" s="607"/>
      <c r="L49" s="607"/>
      <c r="M49" s="607"/>
      <c r="N49" s="607"/>
      <c r="O49" s="607"/>
      <c r="P49" s="644"/>
      <c r="Q49" s="607"/>
      <c r="R49" s="608"/>
      <c r="S49" s="611"/>
      <c r="T49" s="607"/>
      <c r="U49" s="607"/>
      <c r="V49" s="607"/>
    </row>
  </sheetData>
  <sheetProtection algorithmName="SHA-512" hashValue="2xoL/ol/oANDumAD84ZPalUcl7e+zZ6FcC1TTGUgL6SxnMkA50LQdw9rQH8uk94kn+HxTuHz+wsDNMoj/dIj3g==" saltValue="m+2rCki066/mNkqPOIjCZw==" spinCount="100000" sheet="1" objects="1" scenarios="1" selectLockedCells="1"/>
  <mergeCells count="18">
    <mergeCell ref="S21:U21"/>
    <mergeCell ref="S22:U22"/>
    <mergeCell ref="Q5:V6"/>
    <mergeCell ref="T7:V7"/>
    <mergeCell ref="T8:V8"/>
    <mergeCell ref="U11:V11"/>
    <mergeCell ref="M44:N44"/>
    <mergeCell ref="K44:L44"/>
    <mergeCell ref="C2:J3"/>
    <mergeCell ref="I10:I11"/>
    <mergeCell ref="H10:H11"/>
    <mergeCell ref="F10:G11"/>
    <mergeCell ref="C13:I14"/>
    <mergeCell ref="K7:M8"/>
    <mergeCell ref="K17:N17"/>
    <mergeCell ref="K16:N16"/>
    <mergeCell ref="M23:N23"/>
    <mergeCell ref="K23:L23"/>
  </mergeCells>
  <dataValidations count="3">
    <dataValidation allowBlank="1" showInputMessage="1" showErrorMessage="1" promptTitle="Anbefaling" prompt="24-27°_x000a_Dejtemperaturen har meget stor betydning for det endelieg resultat." sqref="T34" xr:uid="{EE9DA4D7-9DBF-473E-BAFE-BD3D0317F032}"/>
    <dataValidation type="list" allowBlank="1" sqref="S8" xr:uid="{B2DB8DA9-6C0F-4D39-9B63-D65B4B44CBA9}">
      <formula1>"11:30,12:00,12:30,13:00,17:00,17:30,18:00,18:30,19:00,19:30"</formula1>
    </dataValidation>
    <dataValidation type="list" allowBlank="1" showErrorMessage="1" sqref="S7" xr:uid="{3257845D-1726-420F-A2A5-EF1B800ED64F}">
      <formula1>"Mandag,Tirsdag,Onsdag,Torsdag,Fredag,Lørdag,Søndag"</formula1>
    </dataValidation>
  </dataValidations>
  <pageMargins left="0.25" right="0.25" top="0.75" bottom="0.75" header="0.3" footer="0.3"/>
  <pageSetup paperSize="9" scale="86"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D51B3-B4B7-47E0-865F-79BF4D978F8B}">
  <sheetPr codeName="Ark11">
    <tabColor theme="0"/>
    <pageSetUpPr fitToPage="1"/>
  </sheetPr>
  <dimension ref="A1:AD54"/>
  <sheetViews>
    <sheetView showGridLines="0" showRowColHeaders="0" zoomScaleNormal="100" workbookViewId="0">
      <pane ySplit="4" topLeftCell="A5" activePane="bottomLeft" state="frozen"/>
      <selection activeCell="H8" sqref="H8"/>
      <selection pane="bottomLeft" activeCell="I7" sqref="I7"/>
    </sheetView>
  </sheetViews>
  <sheetFormatPr defaultColWidth="0" defaultRowHeight="15" customHeight="1" zeroHeight="1"/>
  <cols>
    <col min="1" max="1" width="3.5703125" customWidth="1"/>
    <col min="2" max="3" width="7.140625" customWidth="1"/>
    <col min="4" max="4" width="15.7109375" customWidth="1"/>
    <col min="5" max="5" width="5.5703125" customWidth="1"/>
    <col min="6" max="6" width="6.85546875" customWidth="1"/>
    <col min="7" max="7" width="3.140625" customWidth="1"/>
    <col min="8" max="8" width="7.140625" customWidth="1"/>
    <col min="9" max="9" width="8.28515625" customWidth="1"/>
    <col min="10" max="10" width="13.140625" customWidth="1"/>
    <col min="11" max="11" width="10.140625" customWidth="1"/>
    <col min="12" max="12" width="16.85546875" customWidth="1"/>
    <col min="13" max="13" width="4.85546875" customWidth="1"/>
    <col min="14" max="14" width="6.28515625" customWidth="1"/>
    <col min="15" max="16" width="3.140625" customWidth="1"/>
    <col min="17" max="17" width="3.85546875" customWidth="1"/>
    <col min="18" max="18" width="8" customWidth="1"/>
    <col min="19" max="19" width="19.85546875" customWidth="1"/>
    <col min="20" max="20" width="8.140625" customWidth="1"/>
    <col min="21" max="21" width="8" customWidth="1"/>
    <col min="22" max="22" width="3.5703125" customWidth="1"/>
    <col min="23" max="23" width="2.140625" customWidth="1"/>
    <col min="24" max="24" width="8.7109375" hidden="1" customWidth="1"/>
    <col min="25" max="25" width="11" hidden="1" customWidth="1"/>
    <col min="26" max="26" width="15.7109375" hidden="1" customWidth="1"/>
    <col min="27" max="16384" width="8.7109375" hidden="1"/>
  </cols>
  <sheetData>
    <row r="1" spans="1:30" ht="15" customHeight="1">
      <c r="A1" s="660"/>
      <c r="B1" s="660"/>
      <c r="C1" s="661"/>
      <c r="D1" s="661"/>
      <c r="E1" s="661"/>
      <c r="F1" s="661"/>
      <c r="G1" s="661"/>
      <c r="H1" s="661"/>
      <c r="I1" s="661"/>
      <c r="J1" s="661"/>
      <c r="K1" s="661"/>
      <c r="L1" s="661"/>
      <c r="M1" s="660"/>
      <c r="N1" s="5"/>
      <c r="O1" s="5"/>
      <c r="P1" s="5"/>
      <c r="Q1" s="5"/>
      <c r="R1" s="5"/>
      <c r="S1" s="5"/>
      <c r="T1" s="5"/>
      <c r="U1" s="5"/>
      <c r="V1" s="5"/>
      <c r="W1" s="5"/>
    </row>
    <row r="2" spans="1:30" ht="15" customHeight="1">
      <c r="A2" s="660"/>
      <c r="B2" s="660"/>
      <c r="C2" s="1982" t="s">
        <v>1046</v>
      </c>
      <c r="D2" s="1982"/>
      <c r="E2" s="1982"/>
      <c r="F2" s="1982"/>
      <c r="G2" s="1982"/>
      <c r="H2" s="1982"/>
      <c r="I2" s="1982"/>
      <c r="J2" s="1982"/>
      <c r="K2" s="1982"/>
      <c r="L2" s="1982"/>
      <c r="M2" s="1982"/>
      <c r="N2" s="5"/>
      <c r="O2" s="5"/>
      <c r="P2" s="5"/>
      <c r="Q2" s="5"/>
      <c r="R2" s="5"/>
      <c r="S2" s="656"/>
      <c r="T2" s="5"/>
      <c r="U2" s="5"/>
      <c r="V2" s="5"/>
      <c r="W2" s="5"/>
    </row>
    <row r="3" spans="1:30" ht="15" customHeight="1">
      <c r="A3" s="660"/>
      <c r="B3" s="660"/>
      <c r="C3" s="1982"/>
      <c r="D3" s="1982"/>
      <c r="E3" s="1982"/>
      <c r="F3" s="1982"/>
      <c r="G3" s="1982"/>
      <c r="H3" s="1982"/>
      <c r="I3" s="1982"/>
      <c r="J3" s="1982"/>
      <c r="K3" s="1982"/>
      <c r="L3" s="1982"/>
      <c r="M3" s="1982"/>
      <c r="N3" s="5"/>
      <c r="O3" s="5"/>
      <c r="P3" s="5"/>
      <c r="Q3" s="5"/>
      <c r="R3" s="5"/>
      <c r="S3" s="5"/>
      <c r="T3" s="5"/>
      <c r="U3" s="5"/>
      <c r="V3" s="5"/>
      <c r="W3" s="5"/>
    </row>
    <row r="4" spans="1:30" ht="15" customHeight="1" thickBot="1">
      <c r="A4" s="663"/>
      <c r="B4" s="663"/>
      <c r="C4" s="664" t="s">
        <v>381</v>
      </c>
      <c r="D4" s="665"/>
      <c r="E4" s="665"/>
      <c r="F4" s="665"/>
      <c r="G4" s="665"/>
      <c r="H4" s="665"/>
      <c r="I4" s="665"/>
      <c r="J4" s="665"/>
      <c r="K4" s="665"/>
      <c r="L4" s="665"/>
      <c r="M4" s="663"/>
      <c r="N4" s="657"/>
      <c r="O4" s="657"/>
      <c r="P4" s="1274"/>
      <c r="Q4" s="657"/>
      <c r="R4" s="657"/>
      <c r="S4" s="657"/>
      <c r="T4" s="657"/>
      <c r="U4" s="657"/>
      <c r="V4" s="657"/>
      <c r="W4" s="657"/>
    </row>
    <row r="5" spans="1:30" ht="17.25" customHeight="1" thickTop="1" thickBot="1">
      <c r="A5" s="620"/>
      <c r="B5" s="620"/>
      <c r="C5" s="620"/>
      <c r="D5" s="620"/>
      <c r="E5" s="620"/>
      <c r="F5" s="607"/>
      <c r="G5" s="607"/>
      <c r="H5" s="607"/>
      <c r="I5" s="620"/>
      <c r="J5" s="620"/>
      <c r="K5" s="620"/>
      <c r="L5" s="620"/>
      <c r="M5" s="620"/>
      <c r="N5" s="620"/>
      <c r="O5" s="620"/>
      <c r="P5" s="637"/>
      <c r="Q5" s="1993" t="s">
        <v>1075</v>
      </c>
      <c r="R5" s="1994"/>
      <c r="S5" s="1994"/>
      <c r="T5" s="1994"/>
      <c r="U5" s="1994"/>
      <c r="V5" s="1994"/>
      <c r="W5" s="607"/>
    </row>
    <row r="6" spans="1:30" ht="15.75" customHeight="1">
      <c r="A6" s="620"/>
      <c r="B6" s="687" t="s">
        <v>344</v>
      </c>
      <c r="C6" s="688"/>
      <c r="D6" s="689"/>
      <c r="E6" s="607"/>
      <c r="F6" s="607"/>
      <c r="G6" s="607"/>
      <c r="H6" s="607"/>
      <c r="I6" s="620"/>
      <c r="J6" s="620"/>
      <c r="K6" s="856" t="s">
        <v>745</v>
      </c>
      <c r="L6" s="620"/>
      <c r="M6" s="620"/>
      <c r="N6" s="620"/>
      <c r="O6" s="620"/>
      <c r="P6" s="637"/>
      <c r="Q6" s="1995"/>
      <c r="R6" s="1996"/>
      <c r="S6" s="1996"/>
      <c r="T6" s="1996"/>
      <c r="U6" s="1996"/>
      <c r="V6" s="1996"/>
      <c r="W6" s="607"/>
      <c r="Y6" s="1087" t="s">
        <v>418</v>
      </c>
      <c r="Z6" s="1088"/>
      <c r="AB6" s="43" t="s">
        <v>299</v>
      </c>
      <c r="AC6" s="53" t="s">
        <v>809</v>
      </c>
      <c r="AD6" s="911" t="s">
        <v>756</v>
      </c>
    </row>
    <row r="7" spans="1:30" ht="15.75">
      <c r="A7" s="620"/>
      <c r="B7" s="690">
        <f>1</f>
        <v>1</v>
      </c>
      <c r="C7" s="621" t="s">
        <v>374</v>
      </c>
      <c r="D7" s="691"/>
      <c r="E7" s="614"/>
      <c r="F7" s="626" t="s">
        <v>372</v>
      </c>
      <c r="G7" s="858"/>
      <c r="H7" s="675"/>
      <c r="I7" s="685">
        <v>4</v>
      </c>
      <c r="J7" s="853" t="s">
        <v>386</v>
      </c>
      <c r="K7" s="642">
        <v>1</v>
      </c>
      <c r="L7" s="619" t="str">
        <f>C7</f>
        <v>mel tipo 00</v>
      </c>
      <c r="M7" s="620"/>
      <c r="N7" s="620"/>
      <c r="O7" s="620"/>
      <c r="P7" s="637"/>
      <c r="Q7" s="643"/>
      <c r="R7" s="623" t="s">
        <v>1289</v>
      </c>
      <c r="S7" s="1845" t="s">
        <v>1290</v>
      </c>
      <c r="T7" s="1998"/>
      <c r="U7" s="1998"/>
      <c r="V7" s="1998"/>
      <c r="W7" s="607"/>
      <c r="Y7" s="1080">
        <f>1</f>
        <v>1</v>
      </c>
      <c r="Z7" s="1081" t="str">
        <f>C7</f>
        <v>mel tipo 00</v>
      </c>
      <c r="AB7" s="44" t="s">
        <v>385</v>
      </c>
      <c r="AC7" s="45" t="s">
        <v>385</v>
      </c>
      <c r="AD7" s="912">
        <v>1</v>
      </c>
    </row>
    <row r="8" spans="1:30" ht="16.5" thickBot="1">
      <c r="A8" s="620"/>
      <c r="B8" s="692">
        <v>4.7112462006079027E-2</v>
      </c>
      <c r="C8" s="621" t="s">
        <v>484</v>
      </c>
      <c r="D8" s="691"/>
      <c r="E8" s="614"/>
      <c r="F8" s="626" t="s">
        <v>373</v>
      </c>
      <c r="G8" s="858"/>
      <c r="H8" s="675"/>
      <c r="I8" s="686">
        <v>270</v>
      </c>
      <c r="J8" s="854" t="s">
        <v>369</v>
      </c>
      <c r="K8" s="334"/>
      <c r="L8" s="619" t="s">
        <v>483</v>
      </c>
      <c r="M8" s="620"/>
      <c r="N8" s="620"/>
      <c r="O8" s="620"/>
      <c r="P8" s="637"/>
      <c r="Q8" s="643"/>
      <c r="R8" s="623" t="s">
        <v>1060</v>
      </c>
      <c r="S8" s="1621">
        <v>0.72916666666666663</v>
      </c>
      <c r="T8" s="1998" t="s">
        <v>644</v>
      </c>
      <c r="U8" s="1998"/>
      <c r="V8" s="1998"/>
      <c r="W8" s="607"/>
      <c r="Y8" s="1083">
        <f>IF(K8="",B8,K8)</f>
        <v>4.7112462006079027E-2</v>
      </c>
      <c r="Z8" s="1084" t="str">
        <f>C8</f>
        <v>speltsur el. hvedesur</v>
      </c>
      <c r="AB8" s="44" t="s">
        <v>810</v>
      </c>
      <c r="AC8" s="45" t="s">
        <v>376</v>
      </c>
      <c r="AD8" s="913">
        <v>4</v>
      </c>
    </row>
    <row r="9" spans="1:30" ht="17.25" thickTop="1" thickBot="1">
      <c r="A9" s="620"/>
      <c r="B9" s="692">
        <v>0.63829787234042556</v>
      </c>
      <c r="C9" s="621" t="s">
        <v>1026</v>
      </c>
      <c r="D9" s="691"/>
      <c r="E9" s="614"/>
      <c r="F9" s="634"/>
      <c r="G9" s="858"/>
      <c r="H9" s="675"/>
      <c r="I9" s="620"/>
      <c r="J9" s="854"/>
      <c r="K9" s="334"/>
      <c r="L9" s="619" t="str">
        <f>C9</f>
        <v>hydrering</v>
      </c>
      <c r="M9" s="620"/>
      <c r="N9" s="620"/>
      <c r="O9" s="620"/>
      <c r="P9" s="637"/>
      <c r="Q9" s="643"/>
      <c r="R9" s="620"/>
      <c r="S9" s="1807">
        <f ca="1">TODAY()+MOD(MATCH(S7,{"Mandag";"Tirsdag";"Onsdag";"Torsdag";"Fredag";"Lørdag";"Søndag"},0)-WEEKDAY(TODAY(),2)+7,7)</f>
        <v>45926</v>
      </c>
      <c r="T9" s="868"/>
      <c r="U9" s="675"/>
      <c r="V9" s="614"/>
      <c r="W9" s="607"/>
      <c r="Y9" s="1080">
        <f>IF(K9="",B9,K9)</f>
        <v>0.63829787234042556</v>
      </c>
      <c r="Z9" s="1076" t="str">
        <f>C9</f>
        <v>hydrering</v>
      </c>
      <c r="AB9" s="44" t="s">
        <v>811</v>
      </c>
      <c r="AC9" s="45" t="s">
        <v>376</v>
      </c>
      <c r="AD9" s="913">
        <v>3</v>
      </c>
    </row>
    <row r="10" spans="1:30" ht="17.25" thickTop="1" thickBot="1">
      <c r="A10" s="620"/>
      <c r="B10" s="1095">
        <v>9.11854103343465E-3</v>
      </c>
      <c r="C10" s="621" t="s">
        <v>387</v>
      </c>
      <c r="D10" s="691"/>
      <c r="E10" s="614"/>
      <c r="F10" s="634" t="s">
        <v>382</v>
      </c>
      <c r="G10" s="858"/>
      <c r="H10" s="675"/>
      <c r="I10" s="677">
        <f>I7*I8</f>
        <v>1080</v>
      </c>
      <c r="J10" s="855" t="s">
        <v>369</v>
      </c>
      <c r="K10" s="334"/>
      <c r="L10" s="619" t="str">
        <f>C10</f>
        <v>bageenzym</v>
      </c>
      <c r="M10" s="620"/>
      <c r="N10" s="620"/>
      <c r="O10" s="620"/>
      <c r="P10" s="637"/>
      <c r="Q10" s="643"/>
      <c r="R10" s="620"/>
      <c r="S10" s="614"/>
      <c r="T10" s="868"/>
      <c r="U10" s="675"/>
      <c r="V10" s="614"/>
      <c r="W10" s="607"/>
      <c r="Y10" s="1085">
        <f>IF(K10="",B10,K10)</f>
        <v>9.11854103343465E-3</v>
      </c>
      <c r="Z10" s="1086" t="str">
        <f>C10</f>
        <v>bageenzym</v>
      </c>
      <c r="AB10" s="44" t="s">
        <v>805</v>
      </c>
      <c r="AC10" s="45" t="s">
        <v>808</v>
      </c>
      <c r="AD10" s="914">
        <v>3</v>
      </c>
    </row>
    <row r="11" spans="1:30" ht="17.25" thickTop="1" thickBot="1">
      <c r="A11" s="620"/>
      <c r="B11" s="1095">
        <v>2.4316109422492401E-2</v>
      </c>
      <c r="C11" s="621" t="s">
        <v>375</v>
      </c>
      <c r="D11" s="691"/>
      <c r="E11" s="614"/>
      <c r="F11" s="678"/>
      <c r="G11" s="679"/>
      <c r="H11" s="675"/>
      <c r="I11" s="620"/>
      <c r="J11" s="854"/>
      <c r="K11" s="334"/>
      <c r="L11" s="619" t="str">
        <f>C11</f>
        <v>salt</v>
      </c>
      <c r="M11" s="620"/>
      <c r="N11" s="620"/>
      <c r="O11" s="620"/>
      <c r="P11" s="637"/>
      <c r="Q11" s="643"/>
      <c r="R11" s="1546" t="s">
        <v>1089</v>
      </c>
      <c r="S11" s="1547"/>
      <c r="T11" s="1560">
        <v>1.7361111111111112E-2</v>
      </c>
      <c r="U11" s="1990" t="s">
        <v>644</v>
      </c>
      <c r="V11" s="1990"/>
      <c r="W11" s="607"/>
      <c r="Y11" s="1085">
        <f>IF(K11="",B11,K11)</f>
        <v>2.4316109422492401E-2</v>
      </c>
      <c r="Z11" s="1086" t="str">
        <f>C11</f>
        <v>salt</v>
      </c>
      <c r="AB11" s="909" t="s">
        <v>764</v>
      </c>
      <c r="AC11" s="910" t="str">
        <f>VLOOKUP(L12,AB7:AC10,2,FALSE)</f>
        <v>tørgær</v>
      </c>
      <c r="AD11" s="921">
        <f>VLOOKUP(L12,AB7:AD10,3,FALSE)</f>
        <v>1</v>
      </c>
    </row>
    <row r="12" spans="1:30" ht="17.25" thickTop="1" thickBot="1">
      <c r="A12" s="620"/>
      <c r="B12" s="693">
        <v>4.7112462006079027E-4</v>
      </c>
      <c r="C12" s="640" t="s">
        <v>385</v>
      </c>
      <c r="D12" s="694"/>
      <c r="E12" s="607"/>
      <c r="F12" s="680"/>
      <c r="G12" s="607"/>
      <c r="H12" s="607"/>
      <c r="I12" s="607"/>
      <c r="J12" s="854"/>
      <c r="K12" s="857"/>
      <c r="L12" s="822" t="s">
        <v>385</v>
      </c>
      <c r="M12" s="2029">
        <f>IF(L12&lt;&gt;"tørgær",Y12,IF(K12="",B12,""))</f>
        <v>4.7112462006079027E-4</v>
      </c>
      <c r="N12" s="2029"/>
      <c r="O12" s="620"/>
      <c r="P12" s="637"/>
      <c r="Q12" s="643"/>
      <c r="R12" s="623" t="s">
        <v>1098</v>
      </c>
      <c r="S12" s="1544"/>
      <c r="T12" s="1561">
        <v>2.0833333333333332E-2</v>
      </c>
      <c r="U12" s="813" t="s">
        <v>644</v>
      </c>
      <c r="V12" s="813"/>
      <c r="W12" s="607"/>
      <c r="Y12" s="1083">
        <f>IF(L12="tørgær",IF(K12="",B12,K12),IF(K12="",B12,K12)*AD11)</f>
        <v>4.7112462006079027E-4</v>
      </c>
      <c r="Z12" s="1084" t="str">
        <f>AC11</f>
        <v>tørgær</v>
      </c>
    </row>
    <row r="13" spans="1:30" ht="15.75">
      <c r="A13" s="620"/>
      <c r="B13" s="682"/>
      <c r="C13" s="620"/>
      <c r="D13" s="620"/>
      <c r="E13" s="620"/>
      <c r="F13" s="630"/>
      <c r="G13" s="630"/>
      <c r="H13" s="620"/>
      <c r="I13" s="620"/>
      <c r="J13" s="620"/>
      <c r="K13" s="676"/>
      <c r="L13" s="683"/>
      <c r="M13" s="620"/>
      <c r="N13" s="684"/>
      <c r="O13" s="620"/>
      <c r="P13" s="637"/>
      <c r="Q13" s="643"/>
      <c r="R13" s="1578" t="s">
        <v>1099</v>
      </c>
      <c r="S13" s="1577"/>
      <c r="T13" s="1636">
        <v>6.9444444444444441E-3</v>
      </c>
      <c r="U13" s="813" t="s">
        <v>644</v>
      </c>
      <c r="V13" s="813"/>
      <c r="W13" s="607"/>
    </row>
    <row r="14" spans="1:30" ht="15.75">
      <c r="A14" s="620"/>
      <c r="B14" s="682"/>
      <c r="C14" s="620"/>
      <c r="D14" s="620"/>
      <c r="E14" s="620"/>
      <c r="F14" s="630"/>
      <c r="G14" s="620"/>
      <c r="H14" s="620"/>
      <c r="I14" s="620"/>
      <c r="J14" s="620"/>
      <c r="K14" s="620"/>
      <c r="L14" s="683"/>
      <c r="M14" s="620"/>
      <c r="N14" s="684"/>
      <c r="O14" s="620"/>
      <c r="P14" s="637"/>
      <c r="Q14" s="643"/>
      <c r="R14" s="1578" t="s">
        <v>1076</v>
      </c>
      <c r="S14" s="1544"/>
      <c r="T14" s="1579">
        <v>0.20833333333333334</v>
      </c>
      <c r="U14" s="813" t="s">
        <v>644</v>
      </c>
      <c r="V14" s="813"/>
      <c r="W14" s="607"/>
      <c r="Y14" s="16"/>
    </row>
    <row r="15" spans="1:30" ht="15" customHeight="1">
      <c r="A15" s="607"/>
      <c r="B15" s="849"/>
      <c r="C15" s="1954" t="str">
        <f>C2</f>
        <v>Bagerkokkens pizza med bageenzym</v>
      </c>
      <c r="D15" s="1954"/>
      <c r="E15" s="1954"/>
      <c r="F15" s="1954"/>
      <c r="G15" s="1954"/>
      <c r="H15" s="1954"/>
      <c r="I15" s="1954"/>
      <c r="J15" s="1954"/>
      <c r="K15" s="757"/>
      <c r="L15" s="9"/>
      <c r="M15" s="9"/>
      <c r="N15" s="9"/>
      <c r="O15" s="10"/>
      <c r="P15" s="644"/>
      <c r="Q15" s="643"/>
      <c r="R15" s="1578" t="s">
        <v>1100</v>
      </c>
      <c r="S15" s="1544"/>
      <c r="T15" s="1579">
        <v>1.5</v>
      </c>
      <c r="U15" s="813" t="s">
        <v>644</v>
      </c>
      <c r="V15" s="607"/>
      <c r="W15" s="607"/>
      <c r="Y15" s="1089"/>
    </row>
    <row r="16" spans="1:30" ht="15.75" customHeight="1">
      <c r="A16" s="607"/>
      <c r="B16" s="850"/>
      <c r="C16" s="1887"/>
      <c r="D16" s="1887"/>
      <c r="E16" s="1887"/>
      <c r="F16" s="1887"/>
      <c r="G16" s="1887"/>
      <c r="H16" s="1887"/>
      <c r="I16" s="1887"/>
      <c r="J16" s="1887"/>
      <c r="O16" s="758"/>
      <c r="P16" s="644"/>
      <c r="Q16" s="643"/>
      <c r="R16" s="607"/>
      <c r="S16" s="607"/>
      <c r="T16" s="607"/>
      <c r="U16" s="607"/>
      <c r="V16" s="813"/>
      <c r="W16" s="607"/>
    </row>
    <row r="17" spans="1:26" ht="15" customHeight="1">
      <c r="A17" s="607"/>
      <c r="B17" s="7"/>
      <c r="C17" s="1887"/>
      <c r="D17" s="1887"/>
      <c r="E17" s="1887"/>
      <c r="F17" s="1887"/>
      <c r="G17" s="1887"/>
      <c r="H17" s="1887"/>
      <c r="I17" s="1887"/>
      <c r="J17" s="1887"/>
      <c r="N17" s="5"/>
      <c r="O17" s="758"/>
      <c r="P17" s="644"/>
      <c r="Q17" s="643"/>
      <c r="R17" s="1546" t="str">
        <f ca="1">R23</f>
        <v>Dag 3</v>
      </c>
      <c r="S17" s="1547"/>
      <c r="T17" s="607"/>
      <c r="U17" s="607"/>
      <c r="V17" s="1548"/>
      <c r="W17" s="607"/>
    </row>
    <row r="18" spans="1:26" ht="15.75">
      <c r="A18" s="607"/>
      <c r="B18" s="1327" t="s">
        <v>746</v>
      </c>
      <c r="C18" s="1637" t="str">
        <f>IF(AC11="tørgær","Tørgæren arbejder bedst når vandet er 25-27°.","Frisk gær kan opløses i koldt eller lunkent vand.")</f>
        <v>Tørgæren arbejder bedst når vandet er 25-27°.</v>
      </c>
      <c r="K18" s="2026" t="s">
        <v>1043</v>
      </c>
      <c r="L18" s="2027"/>
      <c r="M18" s="2027"/>
      <c r="N18" s="2028"/>
      <c r="O18" s="758"/>
      <c r="P18" s="644"/>
      <c r="Q18" s="643"/>
      <c r="R18" s="623" t="s">
        <v>1078</v>
      </c>
      <c r="S18" s="620"/>
      <c r="T18" s="1572">
        <v>0.16666666666666666</v>
      </c>
      <c r="U18" s="813" t="s">
        <v>644</v>
      </c>
      <c r="V18" s="607"/>
      <c r="W18" s="607"/>
    </row>
    <row r="19" spans="1:26" ht="15" customHeight="1">
      <c r="A19" s="607"/>
      <c r="B19" s="1327" t="s">
        <v>746</v>
      </c>
      <c r="C19" s="1638" t="s">
        <v>826</v>
      </c>
      <c r="K19" s="2023" t="str">
        <f>I7&amp;" pizzaer a "&amp;ROUND(I8,0)&amp;" g.  -   "&amp;ROUND(Y9*100,0)&amp;"% hydrering"</f>
        <v>4 pizzaer a 270 g.  -   64% hydrering</v>
      </c>
      <c r="L19" s="2024"/>
      <c r="M19" s="2024"/>
      <c r="N19" s="2025"/>
      <c r="O19" s="758"/>
      <c r="P19" s="644"/>
      <c r="Q19" s="643"/>
      <c r="R19" s="607"/>
      <c r="S19" s="607"/>
      <c r="T19" s="607"/>
      <c r="U19" s="607"/>
      <c r="V19" s="607"/>
      <c r="W19" s="607"/>
      <c r="Z19" s="1096"/>
    </row>
    <row r="20" spans="1:26" ht="16.5" thickBot="1">
      <c r="A20" s="607"/>
      <c r="B20" s="1327" t="s">
        <v>746</v>
      </c>
      <c r="C20" s="1639" t="s">
        <v>758</v>
      </c>
      <c r="K20" s="1597">
        <f t="shared" ref="K20:K25" si="0">$I$10*(Y7/SUM($Y$7:$Y$12))</f>
        <v>628.15673864811583</v>
      </c>
      <c r="L20" s="852" t="s">
        <v>12</v>
      </c>
      <c r="M20" s="5"/>
      <c r="N20" s="1752">
        <f t="shared" ref="N20:N25" si="1">Y7</f>
        <v>1</v>
      </c>
      <c r="O20" s="758"/>
      <c r="P20" s="644"/>
      <c r="Q20" s="643"/>
      <c r="R20" s="1569" t="s">
        <v>1073</v>
      </c>
      <c r="S20" s="1570"/>
      <c r="T20" s="1568">
        <f>SUM(T11:T18)</f>
        <v>1.9201388888888891</v>
      </c>
      <c r="U20" s="1571" t="s">
        <v>644</v>
      </c>
      <c r="V20" s="607"/>
      <c r="W20" s="607"/>
      <c r="Z20" s="1096"/>
    </row>
    <row r="21" spans="1:26" ht="15.75">
      <c r="A21" s="607"/>
      <c r="B21" s="1327" t="s">
        <v>746</v>
      </c>
      <c r="C21" s="1639" t="s">
        <v>827</v>
      </c>
      <c r="K21" s="1597">
        <f t="shared" si="0"/>
        <v>29.594010483421872</v>
      </c>
      <c r="L21" s="852" t="s">
        <v>536</v>
      </c>
      <c r="M21" s="5"/>
      <c r="N21" s="1763">
        <f t="shared" si="1"/>
        <v>4.7112462006079027E-2</v>
      </c>
      <c r="O21" s="758"/>
      <c r="P21" s="644"/>
      <c r="Q21" s="643"/>
      <c r="R21" s="614"/>
      <c r="S21" s="1543"/>
      <c r="T21" s="1543"/>
      <c r="U21" s="1541"/>
      <c r="V21" s="607"/>
      <c r="W21" s="607"/>
    </row>
    <row r="22" spans="1:26" ht="15.75">
      <c r="A22" s="607"/>
      <c r="B22" s="7"/>
      <c r="K22" s="1597">
        <f t="shared" si="0"/>
        <v>400.95110977539309</v>
      </c>
      <c r="L22" s="852" t="s">
        <v>444</v>
      </c>
      <c r="M22" s="5"/>
      <c r="N22" s="1752">
        <f t="shared" si="1"/>
        <v>0.63829787234042556</v>
      </c>
      <c r="O22" s="758"/>
      <c r="P22" s="644"/>
      <c r="Q22" s="643"/>
      <c r="R22" s="1551" t="s">
        <v>0</v>
      </c>
      <c r="S22" s="1922">
        <f ca="1">IF(S9="","?",S9-T20+S8)</f>
        <v>45924.809027777774</v>
      </c>
      <c r="T22" s="1922"/>
      <c r="U22" s="1922"/>
      <c r="V22" s="607"/>
      <c r="W22" s="607"/>
      <c r="Z22" s="1096"/>
    </row>
    <row r="23" spans="1:26" ht="15.75">
      <c r="A23" s="607"/>
      <c r="B23" s="7"/>
      <c r="K23" s="876">
        <f t="shared" si="0"/>
        <v>5.72787299679133</v>
      </c>
      <c r="L23" s="852" t="s">
        <v>348</v>
      </c>
      <c r="M23" s="5"/>
      <c r="N23" s="1762">
        <f t="shared" si="1"/>
        <v>9.11854103343465E-3</v>
      </c>
      <c r="O23" s="758"/>
      <c r="P23" s="644"/>
      <c r="Q23" s="643"/>
      <c r="R23" s="1551" t="str">
        <f ca="1">"Dag "&amp;IF(S9="","?",_xlfn.DAYS(S23,S22)+1)</f>
        <v>Dag 3</v>
      </c>
      <c r="S23" s="1922">
        <f ca="1">IF(S9="","?",S22+SUM(T11:T15))</f>
        <v>45926.562499999993</v>
      </c>
      <c r="T23" s="1922"/>
      <c r="U23" s="1922"/>
      <c r="V23" s="607"/>
      <c r="W23" s="607"/>
      <c r="Z23" s="1096"/>
    </row>
    <row r="24" spans="1:26" ht="16.5" thickBot="1">
      <c r="A24" s="607"/>
      <c r="B24" s="7"/>
      <c r="K24" s="876">
        <f t="shared" si="0"/>
        <v>15.274327991443547</v>
      </c>
      <c r="L24" s="852" t="s">
        <v>29</v>
      </c>
      <c r="M24" s="5"/>
      <c r="N24" s="1752">
        <f t="shared" si="1"/>
        <v>2.4316109422492401E-2</v>
      </c>
      <c r="O24" s="758"/>
      <c r="P24" s="644"/>
      <c r="Q24" s="652"/>
      <c r="R24" s="886"/>
      <c r="S24" s="886"/>
      <c r="T24" s="886"/>
      <c r="U24" s="1540"/>
      <c r="V24" s="1540"/>
      <c r="W24" s="607"/>
      <c r="Z24" s="1096"/>
    </row>
    <row r="25" spans="1:26" ht="15.75">
      <c r="A25" s="607"/>
      <c r="B25" s="7"/>
      <c r="K25" s="1416">
        <f t="shared" si="0"/>
        <v>0.29594010483421873</v>
      </c>
      <c r="L25" s="1040" t="str">
        <f>"g "&amp;AC11</f>
        <v>g tørgær</v>
      </c>
      <c r="M25" s="3"/>
      <c r="N25" s="1769">
        <f t="shared" si="1"/>
        <v>4.7112462006079027E-4</v>
      </c>
      <c r="O25" s="758"/>
      <c r="P25" s="644"/>
      <c r="Q25" s="607"/>
      <c r="R25" s="607"/>
      <c r="S25" s="607"/>
      <c r="T25" s="607"/>
      <c r="U25" s="737"/>
      <c r="V25" s="607"/>
      <c r="W25" s="607"/>
      <c r="Z25" s="1096"/>
    </row>
    <row r="26" spans="1:26" ht="15.75">
      <c r="A26" s="607"/>
      <c r="B26" s="44"/>
      <c r="O26" s="45"/>
      <c r="P26" s="644"/>
      <c r="Q26" s="607"/>
      <c r="R26" s="674" t="s">
        <v>358</v>
      </c>
      <c r="S26" s="616"/>
      <c r="T26" s="616"/>
      <c r="U26" s="613"/>
      <c r="V26" s="607"/>
      <c r="W26" s="607"/>
    </row>
    <row r="27" spans="1:26" ht="15" customHeight="1">
      <c r="A27" s="607"/>
      <c r="B27" s="44"/>
      <c r="O27" s="45"/>
      <c r="P27" s="644"/>
      <c r="Q27" s="607"/>
      <c r="R27" s="610" t="s">
        <v>353</v>
      </c>
      <c r="S27" s="617"/>
      <c r="T27" s="617"/>
      <c r="U27" s="607"/>
      <c r="V27" s="607"/>
      <c r="W27" s="607"/>
    </row>
    <row r="28" spans="1:26" ht="15.75" customHeight="1">
      <c r="A28" s="607"/>
      <c r="B28" s="44"/>
      <c r="O28" s="45"/>
      <c r="P28" s="644"/>
      <c r="Q28" s="607"/>
      <c r="R28" s="610" t="s">
        <v>367</v>
      </c>
      <c r="S28" s="617"/>
      <c r="T28" s="617"/>
      <c r="U28" s="607"/>
      <c r="V28" s="607"/>
      <c r="W28" s="607"/>
    </row>
    <row r="29" spans="1:26" ht="18.75">
      <c r="A29" s="607"/>
      <c r="B29" s="1379" t="s">
        <v>1035</v>
      </c>
      <c r="C29" s="898" t="s">
        <v>0</v>
      </c>
      <c r="D29" s="3"/>
      <c r="E29" s="3"/>
      <c r="F29" s="3"/>
      <c r="G29" s="3"/>
      <c r="H29" s="3"/>
      <c r="I29" s="3"/>
      <c r="J29" s="3"/>
      <c r="K29" s="807" t="str">
        <f ca="1">TEXT(S22,"dddd")</f>
        <v>onsdag</v>
      </c>
      <c r="L29" s="1992">
        <f ca="1">IF($S$8="","",S22)</f>
        <v>45924.809027777774</v>
      </c>
      <c r="M29" s="1992"/>
      <c r="N29" s="1992"/>
      <c r="O29" s="758"/>
      <c r="P29" s="644"/>
      <c r="Q29" s="607"/>
      <c r="R29" s="610" t="s">
        <v>359</v>
      </c>
      <c r="S29" s="607"/>
      <c r="T29" s="607"/>
      <c r="U29" s="607"/>
      <c r="V29" s="607"/>
      <c r="W29" s="607"/>
    </row>
    <row r="30" spans="1:26" ht="15.75">
      <c r="A30" s="607"/>
      <c r="B30" s="1057"/>
      <c r="O30" s="45"/>
      <c r="P30" s="644"/>
      <c r="Q30" s="607"/>
      <c r="R30" s="608" t="s">
        <v>360</v>
      </c>
      <c r="S30" s="607"/>
      <c r="T30" s="607"/>
      <c r="U30" s="607"/>
      <c r="V30" s="607"/>
      <c r="W30" s="607"/>
    </row>
    <row r="31" spans="1:26" ht="18">
      <c r="A31" s="607"/>
      <c r="B31" s="1398" t="s">
        <v>1034</v>
      </c>
      <c r="C31" s="1640">
        <v>1</v>
      </c>
      <c r="D31" s="5" t="s">
        <v>918</v>
      </c>
      <c r="E31" s="5"/>
      <c r="F31" s="5"/>
      <c r="G31" s="5"/>
      <c r="H31" s="5"/>
      <c r="I31" s="5"/>
      <c r="K31" s="142" t="str">
        <f>ROUND(K20,0)&amp;" g. mel, "&amp;ROUND(K21,0)&amp;" g. speltsur/hvedesur, "</f>
        <v xml:space="preserve">628 g. mel, 30 g. speltsur/hvedesur, </v>
      </c>
      <c r="L31" s="782"/>
      <c r="M31" s="782"/>
      <c r="N31" s="783"/>
      <c r="O31" s="758"/>
      <c r="P31" s="644"/>
      <c r="Q31" s="607"/>
      <c r="R31" s="610" t="s">
        <v>354</v>
      </c>
      <c r="S31" s="617"/>
      <c r="T31" s="617"/>
      <c r="U31" s="607"/>
      <c r="V31" s="607"/>
      <c r="W31" s="607"/>
    </row>
    <row r="32" spans="1:26">
      <c r="A32" s="607"/>
      <c r="B32" s="44"/>
      <c r="K32" s="1271" t="str">
        <f>ROUND(K23,0)&amp;" g. bageenzym, "&amp;ROUND(K22,0)&amp;" ml. vand, "</f>
        <v xml:space="preserve">6 g. bageenzym, 401 ml. vand, </v>
      </c>
      <c r="L32" s="1272"/>
      <c r="M32" s="1272"/>
      <c r="N32" s="811"/>
      <c r="O32" s="45"/>
      <c r="P32" s="644"/>
      <c r="Q32" s="607"/>
      <c r="R32" s="607"/>
      <c r="S32" s="607"/>
      <c r="T32" s="607"/>
      <c r="U32" s="607"/>
      <c r="V32" s="607"/>
      <c r="W32" s="607"/>
    </row>
    <row r="33" spans="1:23" ht="18">
      <c r="A33" s="607"/>
      <c r="B33" s="1398" t="s">
        <v>1034</v>
      </c>
      <c r="C33" s="1640">
        <v>2</v>
      </c>
      <c r="D33" s="5" t="s">
        <v>349</v>
      </c>
      <c r="E33" s="5"/>
      <c r="F33" s="5"/>
      <c r="G33" s="5"/>
      <c r="H33" s="5"/>
      <c r="I33" s="5"/>
      <c r="J33" s="5"/>
      <c r="K33" s="1641"/>
      <c r="L33" s="5"/>
      <c r="M33" s="5"/>
      <c r="O33" s="758"/>
      <c r="P33" s="644"/>
      <c r="Q33" s="607"/>
      <c r="R33" s="615" t="s">
        <v>361</v>
      </c>
      <c r="S33" s="618"/>
      <c r="T33" s="618"/>
      <c r="U33" s="607"/>
      <c r="V33" s="607"/>
      <c r="W33" s="607"/>
    </row>
    <row r="34" spans="1:23">
      <c r="A34" s="607"/>
      <c r="B34" s="44"/>
      <c r="O34" s="45"/>
      <c r="P34" s="644"/>
      <c r="Q34" s="607"/>
      <c r="R34" s="610" t="s">
        <v>338</v>
      </c>
      <c r="S34" s="607"/>
      <c r="T34" s="607"/>
      <c r="U34" s="192">
        <v>25</v>
      </c>
      <c r="V34" s="607"/>
      <c r="W34" s="607"/>
    </row>
    <row r="35" spans="1:23" ht="18">
      <c r="A35" s="607"/>
      <c r="B35" s="1398" t="s">
        <v>1034</v>
      </c>
      <c r="C35" s="1640">
        <v>3</v>
      </c>
      <c r="D35" s="5" t="s">
        <v>763</v>
      </c>
      <c r="E35" s="5"/>
      <c r="F35" s="5"/>
      <c r="G35" s="5"/>
      <c r="H35" s="5"/>
      <c r="I35" s="5"/>
      <c r="J35" s="5"/>
      <c r="K35" s="483" t="str">
        <f>ROUND(K24,0)&amp;" g. salt, "&amp;ROUND(K25,2)&amp;" g. "&amp;AC11</f>
        <v>15 g. salt, 0,3 g. tørgær</v>
      </c>
      <c r="L35" s="484"/>
      <c r="M35" s="484"/>
      <c r="N35" s="485"/>
      <c r="O35" s="758"/>
      <c r="P35" s="644"/>
      <c r="Q35" s="607"/>
      <c r="R35" s="645" t="s">
        <v>339</v>
      </c>
      <c r="S35" s="607"/>
      <c r="T35" s="607"/>
      <c r="U35" s="190"/>
      <c r="V35" s="607"/>
      <c r="W35" s="607"/>
    </row>
    <row r="36" spans="1:23">
      <c r="A36" s="607"/>
      <c r="B36" s="44"/>
      <c r="O36" s="45"/>
      <c r="P36" s="644"/>
      <c r="Q36" s="607"/>
      <c r="R36" s="645" t="s">
        <v>340</v>
      </c>
      <c r="S36" s="607"/>
      <c r="T36" s="607"/>
      <c r="U36" s="190">
        <v>10</v>
      </c>
      <c r="V36" s="607"/>
      <c r="W36" s="607"/>
    </row>
    <row r="37" spans="1:23" ht="18">
      <c r="A37" s="607"/>
      <c r="B37" s="1398" t="s">
        <v>1034</v>
      </c>
      <c r="C37" s="1640">
        <v>4</v>
      </c>
      <c r="D37" s="5" t="s">
        <v>350</v>
      </c>
      <c r="E37" s="5"/>
      <c r="F37" s="5"/>
      <c r="G37" s="5"/>
      <c r="H37" s="5"/>
      <c r="I37" s="5"/>
      <c r="J37" s="5"/>
      <c r="K37" s="5"/>
      <c r="L37" s="756"/>
      <c r="M37" s="5"/>
      <c r="N37" s="5"/>
      <c r="O37" s="758"/>
      <c r="P37" s="644"/>
      <c r="Q37" s="607"/>
      <c r="R37" s="612" t="s">
        <v>341</v>
      </c>
      <c r="S37" s="613"/>
      <c r="T37" s="613"/>
      <c r="U37" s="191"/>
      <c r="V37" s="607"/>
      <c r="W37" s="607"/>
    </row>
    <row r="38" spans="1:23" ht="15.75">
      <c r="A38" s="607"/>
      <c r="B38" s="44"/>
      <c r="O38" s="45"/>
      <c r="P38" s="644"/>
      <c r="Q38" s="607"/>
      <c r="R38" s="645" t="s">
        <v>342</v>
      </c>
      <c r="S38" s="607"/>
      <c r="T38" s="607"/>
      <c r="U38" s="1552" t="str">
        <f>IF(OR(U34="",U35=""),"",(U34*2)-U35-U36-(U37*2)&amp;"°")</f>
        <v/>
      </c>
      <c r="V38" s="607"/>
      <c r="W38" s="607"/>
    </row>
    <row r="39" spans="1:23" ht="18">
      <c r="A39" s="607"/>
      <c r="B39" s="1398" t="s">
        <v>1034</v>
      </c>
      <c r="C39" s="1640">
        <v>5</v>
      </c>
      <c r="D39" s="5" t="s">
        <v>824</v>
      </c>
      <c r="E39" s="5"/>
      <c r="F39" s="5"/>
      <c r="G39" s="5"/>
      <c r="H39" s="5"/>
      <c r="I39" s="5"/>
      <c r="J39" s="5"/>
      <c r="K39" s="5"/>
      <c r="L39" s="5"/>
      <c r="M39" s="5"/>
      <c r="N39" s="5"/>
      <c r="O39" s="758"/>
      <c r="P39" s="644"/>
      <c r="Q39" s="607"/>
      <c r="R39" s="647" t="s">
        <v>343</v>
      </c>
      <c r="S39" s="695"/>
      <c r="T39" s="695"/>
      <c r="U39" s="695"/>
      <c r="V39" s="607"/>
      <c r="W39" s="607"/>
    </row>
    <row r="40" spans="1:23">
      <c r="A40" s="607"/>
      <c r="B40" s="44"/>
      <c r="O40" s="45"/>
      <c r="P40" s="644"/>
      <c r="Q40" s="607"/>
      <c r="R40" s="608"/>
      <c r="S40" s="608"/>
      <c r="T40" s="608"/>
      <c r="U40" s="608"/>
      <c r="V40" s="607"/>
      <c r="W40" s="607"/>
    </row>
    <row r="41" spans="1:23" ht="18">
      <c r="A41" s="607"/>
      <c r="B41" s="1398" t="s">
        <v>1034</v>
      </c>
      <c r="C41" s="1640">
        <v>6</v>
      </c>
      <c r="D41" s="5" t="s">
        <v>485</v>
      </c>
      <c r="E41" s="5"/>
      <c r="F41" s="5"/>
      <c r="G41" s="5"/>
      <c r="H41" s="5"/>
      <c r="I41" s="5"/>
      <c r="J41" s="5"/>
      <c r="K41" s="5"/>
      <c r="L41" s="5"/>
      <c r="M41" s="5"/>
      <c r="N41" s="5"/>
      <c r="O41" s="758"/>
      <c r="P41" s="644"/>
      <c r="Q41" s="607"/>
      <c r="R41" s="609" t="s">
        <v>362</v>
      </c>
      <c r="S41" s="609"/>
      <c r="T41" s="609"/>
      <c r="U41" s="697"/>
      <c r="V41" s="607"/>
      <c r="W41" s="607"/>
    </row>
    <row r="42" spans="1:23">
      <c r="A42" s="607"/>
      <c r="B42" s="44"/>
      <c r="O42" s="45"/>
      <c r="P42" s="644"/>
      <c r="Q42" s="607"/>
      <c r="R42" s="610" t="s">
        <v>364</v>
      </c>
      <c r="S42" s="608"/>
      <c r="T42" s="608"/>
      <c r="U42" s="608"/>
      <c r="V42" s="607"/>
      <c r="W42" s="607"/>
    </row>
    <row r="43" spans="1:23" ht="18">
      <c r="A43" s="607"/>
      <c r="B43" s="1398" t="s">
        <v>1034</v>
      </c>
      <c r="C43" s="1640">
        <v>7</v>
      </c>
      <c r="D43" s="5" t="s">
        <v>351</v>
      </c>
      <c r="E43" s="5"/>
      <c r="F43" s="5"/>
      <c r="G43" s="5"/>
      <c r="H43" s="5"/>
      <c r="I43" s="5"/>
      <c r="J43" s="5"/>
      <c r="K43" s="5"/>
      <c r="L43" s="5"/>
      <c r="M43" s="5"/>
      <c r="N43" s="5"/>
      <c r="O43" s="758"/>
      <c r="P43" s="644"/>
      <c r="Q43" s="607"/>
      <c r="R43" s="610" t="s">
        <v>363</v>
      </c>
      <c r="S43" s="608"/>
      <c r="T43" s="608"/>
      <c r="U43" s="608"/>
      <c r="V43" s="607"/>
      <c r="W43" s="607"/>
    </row>
    <row r="44" spans="1:23">
      <c r="A44" s="607"/>
      <c r="B44" s="44"/>
      <c r="O44" s="45"/>
      <c r="P44" s="644"/>
      <c r="Q44" s="607"/>
      <c r="R44" s="651" t="s">
        <v>365</v>
      </c>
      <c r="S44" s="608"/>
      <c r="T44" s="608"/>
      <c r="U44" s="607"/>
      <c r="V44" s="607"/>
      <c r="W44" s="607"/>
    </row>
    <row r="45" spans="1:23" ht="18">
      <c r="A45" s="607"/>
      <c r="B45" s="1398" t="s">
        <v>1034</v>
      </c>
      <c r="C45" s="1640">
        <v>8</v>
      </c>
      <c r="D45" s="5" t="str">
        <f>"Del dejen i "&amp;I7&amp;" klumper af ca. "&amp;ROUND(I8,0)&amp;" g."</f>
        <v>Del dejen i 4 klumper af ca. 270 g.</v>
      </c>
      <c r="E45" s="5"/>
      <c r="F45" s="5"/>
      <c r="G45" s="5"/>
      <c r="H45" s="5"/>
      <c r="I45" s="5"/>
      <c r="J45" s="5"/>
      <c r="K45" s="5"/>
      <c r="L45" s="5"/>
      <c r="M45" s="5"/>
      <c r="N45" s="5"/>
      <c r="O45" s="758"/>
      <c r="P45" s="644"/>
      <c r="Q45" s="607"/>
      <c r="R45" s="608" t="s">
        <v>474</v>
      </c>
      <c r="S45" s="611"/>
      <c r="T45" s="611"/>
      <c r="U45" s="607"/>
      <c r="V45" s="607"/>
      <c r="W45" s="607"/>
    </row>
    <row r="46" spans="1:23">
      <c r="A46" s="607"/>
      <c r="B46" s="44"/>
      <c r="O46" s="45"/>
      <c r="P46" s="644"/>
      <c r="Q46" s="607"/>
      <c r="R46" s="608" t="s">
        <v>366</v>
      </c>
      <c r="S46" s="611"/>
      <c r="T46" s="611"/>
      <c r="U46" s="607"/>
      <c r="V46" s="607"/>
      <c r="W46" s="607"/>
    </row>
    <row r="47" spans="1:23" ht="18">
      <c r="A47" s="607"/>
      <c r="B47" s="1398" t="s">
        <v>1034</v>
      </c>
      <c r="C47" s="1640">
        <v>9</v>
      </c>
      <c r="D47" s="5" t="s">
        <v>825</v>
      </c>
      <c r="E47" s="5"/>
      <c r="F47" s="5"/>
      <c r="G47" s="5"/>
      <c r="H47" s="5"/>
      <c r="I47" s="5"/>
      <c r="J47" s="5"/>
      <c r="K47" s="5"/>
      <c r="L47" s="5"/>
      <c r="M47" s="5"/>
      <c r="N47" s="5"/>
      <c r="O47" s="6"/>
      <c r="P47" s="644"/>
      <c r="Q47" s="607"/>
      <c r="R47" s="607"/>
      <c r="S47" s="607"/>
      <c r="T47" s="607"/>
      <c r="U47" s="607"/>
      <c r="V47" s="607"/>
      <c r="W47" s="607"/>
    </row>
    <row r="48" spans="1:23">
      <c r="A48" s="607"/>
      <c r="B48" s="7"/>
      <c r="C48" s="1640"/>
      <c r="D48" s="5"/>
      <c r="E48" s="5"/>
      <c r="F48" s="5"/>
      <c r="G48" s="5"/>
      <c r="H48" s="5"/>
      <c r="I48" s="5"/>
      <c r="J48" s="5"/>
      <c r="K48" s="5"/>
      <c r="L48" s="5"/>
      <c r="M48" s="5"/>
      <c r="N48" s="5"/>
      <c r="O48" s="6"/>
      <c r="P48" s="644"/>
      <c r="Q48" s="607"/>
      <c r="R48" s="607"/>
      <c r="S48" s="607"/>
      <c r="T48" s="607"/>
      <c r="U48" s="607"/>
      <c r="V48" s="607"/>
      <c r="W48" s="607"/>
    </row>
    <row r="49" spans="1:23">
      <c r="A49" s="607"/>
      <c r="B49" s="7"/>
      <c r="C49" s="1640"/>
      <c r="D49" s="5"/>
      <c r="E49" s="5"/>
      <c r="F49" s="5"/>
      <c r="G49" s="5"/>
      <c r="H49" s="5"/>
      <c r="I49" s="5"/>
      <c r="J49" s="5"/>
      <c r="K49" s="5"/>
      <c r="L49" s="5"/>
      <c r="M49" s="5"/>
      <c r="N49" s="5"/>
      <c r="O49" s="6"/>
      <c r="P49" s="644"/>
      <c r="Q49" s="607"/>
      <c r="R49" s="607"/>
      <c r="S49" s="607"/>
      <c r="T49" s="607"/>
      <c r="U49" s="607"/>
      <c r="V49" s="607"/>
      <c r="W49" s="607"/>
    </row>
    <row r="50" spans="1:23" ht="17.25">
      <c r="A50" s="607"/>
      <c r="B50" s="2"/>
      <c r="C50" s="898" t="str">
        <f ca="1">"Dag "&amp;IF(S9="","4",_xlfn.DAYS(S23,S22)+1)</f>
        <v>Dag 3</v>
      </c>
      <c r="D50" s="3"/>
      <c r="E50" s="3"/>
      <c r="F50" s="3"/>
      <c r="G50" s="3"/>
      <c r="H50" s="3"/>
      <c r="I50" s="3"/>
      <c r="J50" s="3"/>
      <c r="K50" s="807" t="str">
        <f ca="1">TEXT(S23,"dddd")</f>
        <v>fredag</v>
      </c>
      <c r="L50" s="1992">
        <f ca="1">IF($S$8="","",S23)</f>
        <v>45926.562499999993</v>
      </c>
      <c r="M50" s="1992"/>
      <c r="N50" s="1992"/>
      <c r="O50" s="6"/>
      <c r="P50" s="644"/>
      <c r="Q50" s="607"/>
      <c r="R50" s="607"/>
      <c r="S50" s="607"/>
      <c r="T50" s="607"/>
      <c r="U50" s="607"/>
      <c r="V50" s="607"/>
      <c r="W50" s="607"/>
    </row>
    <row r="51" spans="1:23">
      <c r="A51" s="607"/>
      <c r="B51" s="44"/>
      <c r="O51" s="45"/>
      <c r="P51" s="644"/>
      <c r="Q51" s="607"/>
      <c r="R51" s="607"/>
      <c r="S51" s="607"/>
      <c r="T51" s="607"/>
      <c r="U51" s="607"/>
      <c r="V51" s="607"/>
      <c r="W51" s="607"/>
    </row>
    <row r="52" spans="1:23" ht="18">
      <c r="A52" s="607"/>
      <c r="B52" s="1398" t="s">
        <v>1034</v>
      </c>
      <c r="C52" s="1640">
        <v>10</v>
      </c>
      <c r="D52" s="5" t="s">
        <v>647</v>
      </c>
      <c r="E52" s="5"/>
      <c r="F52" s="5"/>
      <c r="G52" s="5"/>
      <c r="H52" s="5"/>
      <c r="I52" s="5"/>
      <c r="J52" s="5"/>
      <c r="K52" s="5"/>
      <c r="L52" s="5"/>
      <c r="M52" s="5"/>
      <c r="N52" s="5"/>
      <c r="O52" s="6"/>
      <c r="P52" s="644"/>
      <c r="Q52" s="607"/>
      <c r="R52" s="607"/>
      <c r="S52" s="607"/>
      <c r="T52" s="607"/>
      <c r="U52" s="607"/>
      <c r="V52" s="607"/>
      <c r="W52" s="607"/>
    </row>
    <row r="53" spans="1:23">
      <c r="A53" s="607"/>
      <c r="B53" s="2"/>
      <c r="C53" s="759"/>
      <c r="D53" s="759"/>
      <c r="E53" s="759"/>
      <c r="F53" s="759"/>
      <c r="G53" s="759"/>
      <c r="H53" s="759"/>
      <c r="I53" s="759"/>
      <c r="J53" s="759"/>
      <c r="K53" s="759"/>
      <c r="L53" s="759"/>
      <c r="M53" s="760"/>
      <c r="N53" s="760" t="s">
        <v>523</v>
      </c>
      <c r="O53" s="761"/>
      <c r="P53" s="644"/>
      <c r="Q53" s="607"/>
      <c r="R53" s="607"/>
      <c r="S53" s="607"/>
      <c r="T53" s="607"/>
      <c r="U53" s="607"/>
      <c r="V53" s="607"/>
      <c r="W53" s="607"/>
    </row>
    <row r="54" spans="1:23">
      <c r="A54" s="607"/>
      <c r="B54" s="607"/>
      <c r="C54" s="607"/>
      <c r="D54" s="607"/>
      <c r="E54" s="607"/>
      <c r="F54" s="607"/>
      <c r="G54" s="607"/>
      <c r="H54" s="607"/>
      <c r="I54" s="607"/>
      <c r="J54" s="607"/>
      <c r="K54" s="607"/>
      <c r="L54" s="607"/>
      <c r="M54" s="607"/>
      <c r="N54" s="607"/>
      <c r="O54" s="607"/>
      <c r="P54" s="607"/>
      <c r="Q54" s="607"/>
      <c r="R54" s="607"/>
      <c r="S54" s="607"/>
      <c r="T54" s="607"/>
      <c r="U54" s="607"/>
      <c r="V54" s="607"/>
      <c r="W54" s="607"/>
    </row>
  </sheetData>
  <sheetProtection algorithmName="SHA-512" hashValue="13g6EMZtXhXVh8JCFFfCSaCO6EuVa/N/S3MWL6WbcNA7gyJx90ok73qvCQ2iqL1mkseSQ3JST66JBXw2wlyxtw==" saltValue="u/VuYc/+hyAvX9wniT0FgQ==" spinCount="100000" sheet="1" objects="1" scenarios="1" selectLockedCells="1"/>
  <mergeCells count="13">
    <mergeCell ref="S23:U23"/>
    <mergeCell ref="L29:N29"/>
    <mergeCell ref="L50:N50"/>
    <mergeCell ref="C2:M3"/>
    <mergeCell ref="K19:N19"/>
    <mergeCell ref="C15:J17"/>
    <mergeCell ref="K18:N18"/>
    <mergeCell ref="Q5:V6"/>
    <mergeCell ref="T7:V7"/>
    <mergeCell ref="T8:V8"/>
    <mergeCell ref="U11:V11"/>
    <mergeCell ref="S22:U22"/>
    <mergeCell ref="M12:N12"/>
  </mergeCells>
  <dataValidations count="4">
    <dataValidation allowBlank="1" showInputMessage="1" showErrorMessage="1" promptTitle="Anbefaling" prompt="24-27°_x000a_Dejtemperaturen har meget stor betydning for det endelieg resultat." sqref="U34" xr:uid="{36420EBC-E927-4629-8A2D-44B5885E84EB}"/>
    <dataValidation type="list" allowBlank="1" sqref="S8" xr:uid="{79E0FDBA-EB92-493B-AD0E-44EE5922F68E}">
      <formula1>"11:30,12:00,12:30,13:00,17:00,17:30,18:00,18:30,19:00,19:30"</formula1>
    </dataValidation>
    <dataValidation type="list" allowBlank="1" showErrorMessage="1" sqref="L12" xr:uid="{787440D4-1E62-4457-AA92-32062C11AC01}">
      <formula1>$AB$7:$AB$9</formula1>
    </dataValidation>
    <dataValidation type="list" allowBlank="1" showErrorMessage="1" sqref="S7" xr:uid="{FC756AF3-0FEA-4390-A3F5-A2CA80E0B0F2}">
      <formula1>"Mandag,Tirsdag,Onsdag,Torsdag,Fredag,Lørdag,Søndag"</formula1>
    </dataValidation>
  </dataValidations>
  <pageMargins left="0.25" right="0.25" top="0.75" bottom="0.75" header="0.3" footer="0.3"/>
  <pageSetup paperSize="9" scale="88"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08BDB-3F69-43DE-8BA1-7807B0C4918F}">
  <sheetPr codeName="Ark20">
    <tabColor theme="0"/>
    <pageSetUpPr fitToPage="1"/>
  </sheetPr>
  <dimension ref="A1:AB86"/>
  <sheetViews>
    <sheetView showGridLines="0" showRowColHeaders="0" zoomScaleNormal="100" workbookViewId="0">
      <pane ySplit="4" topLeftCell="A5" activePane="bottomLeft" state="frozen"/>
      <selection activeCell="H8" sqref="H8"/>
      <selection pane="bottomLeft" activeCell="F7" sqref="F7"/>
    </sheetView>
  </sheetViews>
  <sheetFormatPr defaultColWidth="0" defaultRowHeight="0" customHeight="1" zeroHeight="1"/>
  <cols>
    <col min="1" max="1" width="2.42578125" customWidth="1"/>
    <col min="2" max="2" width="6" customWidth="1"/>
    <col min="3" max="3" width="8" customWidth="1"/>
    <col min="4" max="4" width="22" customWidth="1"/>
    <col min="5" max="5" width="13.7109375" customWidth="1"/>
    <col min="6" max="6" width="8.7109375" customWidth="1"/>
    <col min="7" max="7" width="7.7109375" customWidth="1"/>
    <col min="8" max="8" width="3.28515625" customWidth="1"/>
    <col min="9" max="9" width="6.85546875" customWidth="1"/>
    <col min="10" max="10" width="15.85546875" customWidth="1"/>
    <col min="11" max="11" width="4.42578125" customWidth="1"/>
    <col min="12" max="12" width="6.5703125" customWidth="1"/>
    <col min="13" max="13" width="26.28515625" style="1" customWidth="1"/>
    <col min="14" max="14" width="3.28515625" customWidth="1"/>
    <col min="15" max="15" width="4.28515625" customWidth="1"/>
    <col min="16" max="16" width="6.28515625" customWidth="1"/>
    <col min="17" max="17" width="8" style="147" customWidth="1"/>
    <col min="18" max="18" width="17.85546875" style="147" customWidth="1"/>
    <col min="19" max="19" width="8.140625" style="18" customWidth="1"/>
    <col min="20" max="20" width="8" customWidth="1"/>
    <col min="21" max="21" width="3.5703125" customWidth="1"/>
    <col min="22" max="22" width="9.5703125" hidden="1" customWidth="1"/>
    <col min="23" max="23" width="15.5703125" hidden="1" customWidth="1"/>
    <col min="24" max="24" width="10.28515625" hidden="1" customWidth="1"/>
    <col min="25" max="28" width="0" hidden="1" customWidth="1"/>
    <col min="29" max="16384" width="9.140625" hidden="1"/>
  </cols>
  <sheetData>
    <row r="1" spans="1:28" ht="15" customHeight="1">
      <c r="A1" s="660"/>
      <c r="B1" s="660"/>
      <c r="C1" s="660"/>
      <c r="D1" s="667"/>
      <c r="E1" s="661"/>
      <c r="F1" s="661"/>
      <c r="G1" s="661"/>
      <c r="H1" s="661"/>
      <c r="I1" s="661"/>
      <c r="J1" s="661"/>
      <c r="K1" s="660"/>
      <c r="L1" s="660"/>
      <c r="M1" s="668"/>
      <c r="N1" s="669"/>
      <c r="O1" s="669"/>
      <c r="P1" s="669"/>
      <c r="Q1" s="670"/>
      <c r="R1" s="670"/>
      <c r="S1" s="87"/>
      <c r="T1" s="5"/>
      <c r="U1" s="5"/>
    </row>
    <row r="2" spans="1:28" ht="15" customHeight="1">
      <c r="A2" s="660"/>
      <c r="B2" s="660"/>
      <c r="C2" s="2040" t="s">
        <v>1045</v>
      </c>
      <c r="D2" s="2040"/>
      <c r="E2" s="2040"/>
      <c r="F2" s="2040"/>
      <c r="G2" s="2040"/>
      <c r="H2" s="1582"/>
      <c r="I2" s="1582"/>
      <c r="K2" s="660"/>
      <c r="L2" s="660"/>
      <c r="M2" s="668"/>
      <c r="N2" s="669"/>
      <c r="O2" s="669"/>
      <c r="P2" s="669"/>
      <c r="Q2" s="669"/>
      <c r="R2" s="5"/>
      <c r="S2" s="87"/>
      <c r="T2" s="5"/>
      <c r="U2" s="5"/>
    </row>
    <row r="3" spans="1:28" ht="15" customHeight="1">
      <c r="A3" s="660"/>
      <c r="B3" s="660"/>
      <c r="C3" s="2040"/>
      <c r="D3" s="2040"/>
      <c r="E3" s="2040"/>
      <c r="F3" s="2040"/>
      <c r="G3" s="2040"/>
      <c r="H3" s="1582"/>
      <c r="I3" s="1582"/>
      <c r="K3" s="660"/>
      <c r="L3" s="671"/>
      <c r="M3" s="668"/>
      <c r="N3" s="669"/>
      <c r="O3" s="669"/>
      <c r="P3" s="669"/>
      <c r="Q3" s="669"/>
      <c r="R3" s="5"/>
      <c r="S3" s="87"/>
      <c r="T3" s="5"/>
      <c r="U3" s="5"/>
    </row>
    <row r="4" spans="1:28" ht="15" customHeight="1" thickBot="1">
      <c r="A4" s="663"/>
      <c r="B4" s="663"/>
      <c r="C4" s="1436" t="s">
        <v>381</v>
      </c>
      <c r="D4" s="1437"/>
      <c r="E4" s="1437"/>
      <c r="F4" s="1437"/>
      <c r="G4" s="1437"/>
      <c r="H4" s="665"/>
      <c r="I4" s="665"/>
      <c r="K4" s="663"/>
      <c r="L4" s="663"/>
      <c r="M4" s="672"/>
      <c r="N4" s="673"/>
      <c r="O4" s="673"/>
      <c r="P4" s="673"/>
      <c r="Q4" s="673"/>
      <c r="R4" s="657"/>
      <c r="S4" s="657"/>
      <c r="T4" s="657"/>
      <c r="U4" s="657"/>
    </row>
    <row r="5" spans="1:28" ht="14.25" customHeight="1" thickTop="1" thickBot="1">
      <c r="A5" s="607"/>
      <c r="B5" s="608"/>
      <c r="C5" s="608"/>
      <c r="D5" s="729"/>
      <c r="E5" s="732"/>
      <c r="F5" s="733"/>
      <c r="G5" s="734"/>
      <c r="H5" s="2005"/>
      <c r="I5" s="2005"/>
      <c r="J5" s="608"/>
      <c r="K5" s="608"/>
      <c r="L5" s="735"/>
      <c r="M5" s="736"/>
      <c r="N5" s="608"/>
      <c r="O5" s="644"/>
      <c r="P5" s="1993" t="s">
        <v>1075</v>
      </c>
      <c r="Q5" s="1994"/>
      <c r="R5" s="1994"/>
      <c r="S5" s="1994"/>
      <c r="T5" s="1994"/>
      <c r="U5" s="1994"/>
    </row>
    <row r="6" spans="1:28" s="155" customFormat="1" ht="17.25" customHeight="1" thickTop="1" thickBot="1">
      <c r="A6" s="737"/>
      <c r="B6" s="730"/>
      <c r="C6" s="740" t="s">
        <v>378</v>
      </c>
      <c r="D6" s="741"/>
      <c r="E6" s="726"/>
      <c r="F6" s="608"/>
      <c r="G6" s="843"/>
      <c r="H6" s="607"/>
      <c r="I6" s="2039" t="s">
        <v>745</v>
      </c>
      <c r="J6" s="2039"/>
      <c r="K6" s="608"/>
      <c r="L6" s="727"/>
      <c r="M6" s="1555"/>
      <c r="N6" s="2041"/>
      <c r="O6" s="2042"/>
      <c r="P6" s="1995"/>
      <c r="Q6" s="1996"/>
      <c r="R6" s="1996"/>
      <c r="S6" s="1996"/>
      <c r="T6" s="1996"/>
      <c r="U6" s="1996"/>
      <c r="W6" s="351" t="s">
        <v>418</v>
      </c>
      <c r="X6" s="281"/>
      <c r="Z6" s="43" t="s">
        <v>299</v>
      </c>
      <c r="AA6" s="53" t="s">
        <v>809</v>
      </c>
      <c r="AB6" s="911" t="s">
        <v>756</v>
      </c>
    </row>
    <row r="7" spans="1:28" s="155" customFormat="1" ht="16.5" thickTop="1">
      <c r="A7" s="737"/>
      <c r="B7" s="730"/>
      <c r="C7" s="742">
        <v>1</v>
      </c>
      <c r="D7" s="743" t="s">
        <v>374</v>
      </c>
      <c r="E7" s="844" t="s">
        <v>372</v>
      </c>
      <c r="F7" s="347">
        <v>6</v>
      </c>
      <c r="G7" s="728" t="s">
        <v>386</v>
      </c>
      <c r="H7" s="607"/>
      <c r="I7" s="2039"/>
      <c r="J7" s="2039"/>
      <c r="K7" s="608"/>
      <c r="L7" s="727"/>
      <c r="M7" s="1555"/>
      <c r="N7" s="2041"/>
      <c r="O7" s="2042"/>
      <c r="P7" s="643"/>
      <c r="Q7" s="623" t="s">
        <v>1289</v>
      </c>
      <c r="R7" s="1845" t="s">
        <v>1290</v>
      </c>
      <c r="S7" s="1998"/>
      <c r="T7" s="1998"/>
      <c r="U7" s="1998"/>
      <c r="W7" s="284">
        <v>1</v>
      </c>
      <c r="X7" s="285" t="s">
        <v>649</v>
      </c>
      <c r="Z7" s="44" t="s">
        <v>385</v>
      </c>
      <c r="AA7" s="45" t="s">
        <v>385</v>
      </c>
      <c r="AB7" s="912">
        <v>1</v>
      </c>
    </row>
    <row r="8" spans="1:28" ht="16.5" thickBot="1">
      <c r="A8" s="607"/>
      <c r="B8" s="730"/>
      <c r="C8" s="744">
        <v>0.64988814317673382</v>
      </c>
      <c r="D8" s="743" t="s">
        <v>1026</v>
      </c>
      <c r="E8" s="844" t="s">
        <v>373</v>
      </c>
      <c r="F8" s="348">
        <v>270</v>
      </c>
      <c r="G8" s="728" t="s">
        <v>369</v>
      </c>
      <c r="H8" s="607"/>
      <c r="I8" s="332"/>
      <c r="J8" s="619" t="s">
        <v>1026</v>
      </c>
      <c r="K8" s="723"/>
      <c r="L8" s="727"/>
      <c r="M8" s="1555"/>
      <c r="N8" s="2041"/>
      <c r="O8" s="2042"/>
      <c r="P8" s="643"/>
      <c r="Q8" s="623" t="s">
        <v>1060</v>
      </c>
      <c r="R8" s="1621">
        <v>0.72916666666666663</v>
      </c>
      <c r="S8" s="1998" t="s">
        <v>644</v>
      </c>
      <c r="T8" s="1998"/>
      <c r="U8" s="1998"/>
      <c r="W8" s="284">
        <f>IF(I8="",C8,I8)</f>
        <v>0.64988814317673382</v>
      </c>
      <c r="X8" s="286" t="s">
        <v>419</v>
      </c>
      <c r="Z8" s="44" t="s">
        <v>810</v>
      </c>
      <c r="AA8" s="45" t="s">
        <v>376</v>
      </c>
      <c r="AB8" s="913">
        <v>4</v>
      </c>
    </row>
    <row r="9" spans="1:28" ht="16.5" thickTop="1">
      <c r="A9" s="607"/>
      <c r="B9" s="731"/>
      <c r="C9" s="745">
        <v>2.6845629999999999E-2</v>
      </c>
      <c r="D9" s="746" t="s">
        <v>375</v>
      </c>
      <c r="E9" s="607"/>
      <c r="F9" s="837"/>
      <c r="G9" s="644"/>
      <c r="H9" s="607"/>
      <c r="I9" s="834"/>
      <c r="J9" s="822" t="s">
        <v>385</v>
      </c>
      <c r="K9" s="2010">
        <f>IF(J11&lt;&gt;"tørgær",W9,IF(I11="",C10,""))</f>
        <v>2.2371364653243847E-3</v>
      </c>
      <c r="L9" s="2010"/>
      <c r="M9" s="1555"/>
      <c r="N9" s="2041"/>
      <c r="O9" s="2042"/>
      <c r="P9" s="643"/>
      <c r="Q9" s="620"/>
      <c r="R9" s="1807">
        <f ca="1">TODAY()+MOD(MATCH(R7,{"Mandag";"Tirsdag";"Onsdag";"Torsdag";"Fredag";"Lørdag";"Søndag"},0)-WEEKDAY(TODAY(),2)+7,7)</f>
        <v>45926</v>
      </c>
      <c r="S9" s="868"/>
      <c r="T9" s="675"/>
      <c r="U9" s="614"/>
      <c r="W9" s="284">
        <f>IF(J9="tørgær",IF(I9="",C10,I9),IF(I9="",C10,I9)*AB11)</f>
        <v>2.2371364653243847E-3</v>
      </c>
      <c r="X9" s="285" t="str">
        <f>AA11</f>
        <v>tørgær</v>
      </c>
      <c r="Z9" s="44" t="s">
        <v>811</v>
      </c>
      <c r="AA9" s="45" t="s">
        <v>376</v>
      </c>
      <c r="AB9" s="913">
        <v>3</v>
      </c>
    </row>
    <row r="10" spans="1:28" ht="15.75">
      <c r="A10" s="607"/>
      <c r="B10" s="608"/>
      <c r="C10" s="745">
        <v>2.2371364653243847E-3</v>
      </c>
      <c r="D10" s="746" t="s">
        <v>385</v>
      </c>
      <c r="E10" s="679" t="s">
        <v>382</v>
      </c>
      <c r="F10" s="1672">
        <f>F7*F8</f>
        <v>1620</v>
      </c>
      <c r="G10" s="836" t="s">
        <v>369</v>
      </c>
      <c r="H10" s="607"/>
      <c r="I10" s="333"/>
      <c r="J10" s="619" t="s">
        <v>375</v>
      </c>
      <c r="K10" s="2030"/>
      <c r="L10" s="727"/>
      <c r="M10" s="1555"/>
      <c r="N10" s="2041"/>
      <c r="O10" s="2042"/>
      <c r="P10" s="643"/>
      <c r="Q10" s="620"/>
      <c r="R10" s="614"/>
      <c r="S10" s="868"/>
      <c r="T10" s="675"/>
      <c r="U10" s="614"/>
      <c r="V10" s="482"/>
      <c r="W10" s="480">
        <f>IF(I10="",C9,I10)</f>
        <v>2.6845629999999999E-2</v>
      </c>
      <c r="X10" s="481" t="s">
        <v>375</v>
      </c>
      <c r="Z10" s="44" t="s">
        <v>805</v>
      </c>
      <c r="AA10" s="45" t="s">
        <v>808</v>
      </c>
      <c r="AB10" s="914">
        <v>3</v>
      </c>
    </row>
    <row r="11" spans="1:28" ht="16.5" thickBot="1">
      <c r="A11" s="607"/>
      <c r="B11" s="608"/>
      <c r="C11" s="747">
        <v>1</v>
      </c>
      <c r="D11" s="748" t="s">
        <v>653</v>
      </c>
      <c r="E11" s="726"/>
      <c r="F11" s="608"/>
      <c r="G11" s="843"/>
      <c r="H11" s="727"/>
      <c r="I11" s="331"/>
      <c r="J11" s="749" t="str">
        <f>IF(I11="","biga (100%)","biga")</f>
        <v>biga (100%)</v>
      </c>
      <c r="K11" s="2030"/>
      <c r="L11" s="727"/>
      <c r="M11" s="1555"/>
      <c r="N11" s="2041"/>
      <c r="O11" s="2042"/>
      <c r="P11" s="643"/>
      <c r="Q11" s="1546" t="s">
        <v>1089</v>
      </c>
      <c r="R11" s="1547"/>
      <c r="S11" s="1644">
        <v>1.0416666666666666E-2</v>
      </c>
      <c r="T11" s="1990" t="s">
        <v>644</v>
      </c>
      <c r="U11" s="1990"/>
      <c r="W11" s="287">
        <f>IF(I11="",C11,I11)</f>
        <v>1</v>
      </c>
      <c r="X11" s="288" t="s">
        <v>648</v>
      </c>
      <c r="Z11" s="909" t="s">
        <v>764</v>
      </c>
      <c r="AA11" s="910" t="str">
        <f>VLOOKUP(J9,Z7:AA10,2,FALSE)</f>
        <v>tørgær</v>
      </c>
      <c r="AB11" s="921">
        <f>VLOOKUP(J9,Z7:AB10,3,FALSE)</f>
        <v>1</v>
      </c>
    </row>
    <row r="12" spans="1:28" ht="15.75">
      <c r="A12" s="607"/>
      <c r="B12" s="607"/>
      <c r="C12" s="815"/>
      <c r="D12" s="816"/>
      <c r="E12" s="817"/>
      <c r="F12" s="620"/>
      <c r="G12" s="607"/>
      <c r="H12" s="838"/>
      <c r="I12" s="838"/>
      <c r="J12" s="838"/>
      <c r="K12" s="838"/>
      <c r="L12" s="839"/>
      <c r="M12" s="623"/>
      <c r="N12" s="2003"/>
      <c r="O12" s="2004"/>
      <c r="P12" s="643"/>
      <c r="Q12" s="623" t="s">
        <v>1159</v>
      </c>
      <c r="R12" s="1544"/>
      <c r="S12" s="1579">
        <v>1</v>
      </c>
      <c r="T12" s="1990" t="s">
        <v>644</v>
      </c>
      <c r="U12" s="1990"/>
    </row>
    <row r="13" spans="1:28" ht="15.75" customHeight="1">
      <c r="A13" s="607"/>
      <c r="B13" s="1046"/>
      <c r="C13" s="1954" t="str">
        <f>C2</f>
        <v>Bagerkokkens biga v1</v>
      </c>
      <c r="D13" s="1954"/>
      <c r="E13" s="1954"/>
      <c r="F13" s="1954"/>
      <c r="G13" s="1047"/>
      <c r="H13" s="1047"/>
      <c r="I13" s="1047"/>
      <c r="J13" s="1047"/>
      <c r="K13" s="9"/>
      <c r="L13" s="9"/>
      <c r="M13" s="25"/>
      <c r="N13" s="10"/>
      <c r="O13" s="644"/>
      <c r="P13" s="643"/>
      <c r="Q13" s="610"/>
      <c r="R13" s="610"/>
      <c r="S13" s="611"/>
      <c r="T13" s="607"/>
      <c r="U13" s="607"/>
    </row>
    <row r="14" spans="1:28" ht="15.75" customHeight="1">
      <c r="A14" s="607"/>
      <c r="B14" s="1048"/>
      <c r="C14" s="1887"/>
      <c r="D14" s="1887"/>
      <c r="E14" s="1887"/>
      <c r="F14" s="1887"/>
      <c r="G14" s="1049"/>
      <c r="N14" s="6"/>
      <c r="O14" s="644"/>
      <c r="P14" s="643"/>
      <c r="Q14" s="1546" t="s">
        <v>1090</v>
      </c>
      <c r="R14" s="1547"/>
      <c r="S14" s="1644">
        <v>1.7361111111111112E-2</v>
      </c>
      <c r="T14" s="1990" t="s">
        <v>644</v>
      </c>
      <c r="U14" s="1990"/>
    </row>
    <row r="15" spans="1:28" ht="15.75" customHeight="1">
      <c r="A15" s="607"/>
      <c r="B15" s="1048"/>
      <c r="C15" s="1887"/>
      <c r="D15" s="1887"/>
      <c r="E15" s="1887"/>
      <c r="F15" s="1887"/>
      <c r="G15" s="5"/>
      <c r="H15" s="5"/>
      <c r="I15" s="5"/>
      <c r="J15" s="5"/>
      <c r="K15" s="5"/>
      <c r="L15" s="5"/>
      <c r="M15" s="11"/>
      <c r="N15" s="6"/>
      <c r="O15" s="644"/>
      <c r="P15" s="643"/>
      <c r="Q15" s="623" t="s">
        <v>1068</v>
      </c>
      <c r="R15" s="1544"/>
      <c r="S15" s="1561">
        <v>3.125E-2</v>
      </c>
      <c r="T15" s="813" t="s">
        <v>644</v>
      </c>
      <c r="U15" s="813"/>
    </row>
    <row r="16" spans="1:28" ht="15" customHeight="1">
      <c r="A16" s="607"/>
      <c r="B16" s="1793" t="s">
        <v>746</v>
      </c>
      <c r="C16" s="5" t="str">
        <f>IF(AA11="tørgær","Tørgæren arbejder bedst i bigaen når vandet er 25-27°.","Frisk gær kan opløses i koldt eller lunkent vand.")</f>
        <v>Tørgæren arbejder bedst i bigaen når vandet er 25-27°.</v>
      </c>
      <c r="E16" s="5"/>
      <c r="F16" s="5"/>
      <c r="G16" s="5"/>
      <c r="H16" s="1919" t="s">
        <v>1043</v>
      </c>
      <c r="I16" s="1920"/>
      <c r="J16" s="1920"/>
      <c r="K16" s="1920"/>
      <c r="L16" s="1920"/>
      <c r="M16" s="1921"/>
      <c r="N16" s="6"/>
      <c r="O16" s="644"/>
      <c r="P16" s="643"/>
      <c r="Q16" s="623" t="s">
        <v>1066</v>
      </c>
      <c r="R16" s="1544"/>
      <c r="S16" s="1579">
        <v>1.9166666666666667</v>
      </c>
      <c r="T16" s="1990" t="s">
        <v>644</v>
      </c>
      <c r="U16" s="1990"/>
    </row>
    <row r="17" spans="1:23" ht="15" customHeight="1">
      <c r="A17" s="607"/>
      <c r="B17" s="1793" t="s">
        <v>746</v>
      </c>
      <c r="C17" s="5" t="s">
        <v>760</v>
      </c>
      <c r="E17" s="5"/>
      <c r="F17" s="5"/>
      <c r="G17" s="5"/>
      <c r="H17" s="2031" t="str">
        <f>F7&amp;" pizzaer a "&amp;ROUND(F8,0)&amp;" g.  -   "&amp;ROUND(W8*100,0)&amp;"% hydrering"</f>
        <v>6 pizzaer a 270 g.  -   65% hydrering</v>
      </c>
      <c r="I17" s="2032"/>
      <c r="J17" s="2032"/>
      <c r="K17" s="2032"/>
      <c r="L17" s="2032"/>
      <c r="M17" s="2033"/>
      <c r="N17" s="6"/>
      <c r="O17" s="644"/>
      <c r="P17" s="643"/>
      <c r="Q17" s="610"/>
      <c r="R17" s="610"/>
      <c r="S17" s="611"/>
      <c r="T17" s="607"/>
      <c r="U17" s="607"/>
    </row>
    <row r="18" spans="1:23" ht="15.75">
      <c r="A18" s="607"/>
      <c r="B18" s="1793" t="s">
        <v>746</v>
      </c>
      <c r="C18" s="5" t="s">
        <v>980</v>
      </c>
      <c r="E18" s="5"/>
      <c r="F18" s="5"/>
      <c r="G18" s="5"/>
      <c r="H18" s="7"/>
      <c r="M18" s="1401"/>
      <c r="N18" s="6"/>
      <c r="O18" s="644"/>
      <c r="P18" s="643"/>
      <c r="Q18" s="1546" t="str">
        <f ca="1">"Dag "&amp;IF(R9="","?",_xlfn.DAYS(R25,R23)+1)</f>
        <v>Dag 4</v>
      </c>
      <c r="R18" s="1547"/>
      <c r="S18" s="1547"/>
      <c r="T18" s="813"/>
      <c r="U18" s="813"/>
    </row>
    <row r="19" spans="1:23" ht="15.75">
      <c r="A19" s="607"/>
      <c r="B19" s="1793" t="s">
        <v>746</v>
      </c>
      <c r="C19" s="851" t="s">
        <v>747</v>
      </c>
      <c r="E19" s="5"/>
      <c r="F19" s="5"/>
      <c r="G19" s="5"/>
      <c r="H19" s="7"/>
      <c r="I19" s="1587" t="str">
        <f>IF(AND(I11&lt;&gt;"",I11&lt;&gt;1),"Biga ("&amp;I11*100&amp;"%)","Biga (100%)")</f>
        <v>Biga (100%)</v>
      </c>
      <c r="J19" s="1587"/>
      <c r="K19" s="1588"/>
      <c r="L19" s="1589" t="s">
        <v>201</v>
      </c>
      <c r="M19" s="1590"/>
      <c r="N19" s="6"/>
      <c r="O19" s="644"/>
      <c r="P19" s="643"/>
      <c r="Q19" s="623" t="s">
        <v>1097</v>
      </c>
      <c r="R19" s="620"/>
      <c r="S19" s="1579">
        <v>0</v>
      </c>
      <c r="T19" s="813" t="s">
        <v>644</v>
      </c>
      <c r="U19" s="813"/>
    </row>
    <row r="20" spans="1:23" ht="15">
      <c r="A20" s="607"/>
      <c r="B20" s="1792"/>
      <c r="C20" s="823" t="s">
        <v>748</v>
      </c>
      <c r="E20" s="5"/>
      <c r="F20" s="5"/>
      <c r="G20" s="5"/>
      <c r="H20" s="7"/>
      <c r="I20" s="1596">
        <f>(F10/(W7*SUM(W7:W10)))*W11</f>
        <v>964.87675319244795</v>
      </c>
      <c r="J20" s="302" t="s">
        <v>12</v>
      </c>
      <c r="K20" s="303"/>
      <c r="L20" s="1594">
        <f>F10*(W7/(SUM(W7:W10)))-I20</f>
        <v>0</v>
      </c>
      <c r="M20" s="1524" t="str">
        <f>IF(I11&lt;&gt;"","g mel tipo 00","g mel (100% er i biga'en)")</f>
        <v>g mel (100% er i biga'en)</v>
      </c>
      <c r="N20" s="6"/>
      <c r="O20" s="644"/>
      <c r="P20" s="643"/>
      <c r="Q20" s="610"/>
      <c r="R20" s="610"/>
      <c r="S20" s="611"/>
      <c r="T20" s="607"/>
      <c r="U20" s="607"/>
    </row>
    <row r="21" spans="1:23" ht="16.5" thickBot="1">
      <c r="A21" s="607"/>
      <c r="B21" s="1793" t="s">
        <v>746</v>
      </c>
      <c r="C21" s="851" t="s">
        <v>758</v>
      </c>
      <c r="E21" s="5"/>
      <c r="F21" s="5"/>
      <c r="G21" s="5"/>
      <c r="H21" s="7"/>
      <c r="I21" s="1596">
        <f>I20*0.5</f>
        <v>482.43837659622397</v>
      </c>
      <c r="J21" s="302" t="s">
        <v>812</v>
      </c>
      <c r="K21" s="303"/>
      <c r="L21" s="1594">
        <f>F10*(W8/SUM(W7:W10))-I21</f>
        <v>144.62358493041165</v>
      </c>
      <c r="M21" s="1524" t="s">
        <v>828</v>
      </c>
      <c r="N21" s="6"/>
      <c r="O21" s="644"/>
      <c r="P21" s="643"/>
      <c r="Q21" s="1569" t="s">
        <v>1073</v>
      </c>
      <c r="R21" s="1570"/>
      <c r="S21" s="1568">
        <f>SUM(S11:S19)</f>
        <v>2.9756944444444446</v>
      </c>
      <c r="T21" s="1571" t="s">
        <v>644</v>
      </c>
      <c r="U21" s="1548"/>
    </row>
    <row r="22" spans="1:23" ht="15.75">
      <c r="A22" s="607"/>
      <c r="B22" s="1066"/>
      <c r="C22" s="11"/>
      <c r="D22" s="851"/>
      <c r="E22" s="5"/>
      <c r="F22" s="5"/>
      <c r="G22" s="5"/>
      <c r="H22" s="7"/>
      <c r="I22" s="1410">
        <f>I20*W9</f>
        <v>2.1585609691106216</v>
      </c>
      <c r="J22" s="302" t="str">
        <f>"g "&amp;AA11</f>
        <v>g tørgær</v>
      </c>
      <c r="K22" s="303"/>
      <c r="L22" s="1594">
        <f>F10*(W10/SUM(W8:W11))</f>
        <v>25.902724311805777</v>
      </c>
      <c r="M22" s="1524" t="s">
        <v>29</v>
      </c>
      <c r="N22" s="6"/>
      <c r="O22" s="644"/>
      <c r="P22" s="643"/>
      <c r="Q22" s="614"/>
      <c r="R22" s="1543"/>
      <c r="S22" s="681"/>
      <c r="T22" s="1541"/>
      <c r="U22" s="1541"/>
    </row>
    <row r="23" spans="1:23" ht="15.75">
      <c r="A23" s="607"/>
      <c r="B23" s="1793" t="s">
        <v>746</v>
      </c>
      <c r="C23" s="5" t="s">
        <v>1217</v>
      </c>
      <c r="D23" s="5"/>
      <c r="E23" s="5"/>
      <c r="F23" s="5"/>
      <c r="G23" s="5"/>
      <c r="H23" s="7"/>
      <c r="I23" s="1411"/>
      <c r="J23" s="1411"/>
      <c r="K23" s="303"/>
      <c r="L23" s="1595">
        <f>SUM(I20:I22)</f>
        <v>1449.4736907577826</v>
      </c>
      <c r="M23" s="1591" t="s">
        <v>652</v>
      </c>
      <c r="N23" s="6"/>
      <c r="O23" s="644"/>
      <c r="P23" s="607"/>
      <c r="Q23" s="1551" t="s">
        <v>0</v>
      </c>
      <c r="R23" s="1922">
        <f ca="1">IF(R9="","?",R9-S21+R8)</f>
        <v>45923.753472222219</v>
      </c>
      <c r="S23" s="1922"/>
      <c r="T23" s="1922"/>
      <c r="U23" s="607"/>
    </row>
    <row r="24" spans="1:23" ht="15.75" customHeight="1">
      <c r="A24" s="607"/>
      <c r="B24" s="1066"/>
      <c r="C24" s="5"/>
      <c r="D24" s="5"/>
      <c r="E24" s="5"/>
      <c r="F24" s="5"/>
      <c r="G24" s="5"/>
      <c r="H24" s="7"/>
      <c r="I24" s="5"/>
      <c r="J24" s="5"/>
      <c r="K24" s="5"/>
      <c r="L24" s="1592">
        <f>SUM(L20:L23)</f>
        <v>1620</v>
      </c>
      <c r="M24" s="1593" t="s">
        <v>326</v>
      </c>
      <c r="N24" s="6"/>
      <c r="O24" s="644"/>
      <c r="P24" s="607"/>
      <c r="Q24" s="1551" t="s">
        <v>4</v>
      </c>
      <c r="R24" s="1922">
        <f ca="1">IF(R9="","?",R23+SUM(S11:S12))</f>
        <v>45924.763888888883</v>
      </c>
      <c r="S24" s="1922"/>
      <c r="T24" s="1922"/>
      <c r="U24" s="607"/>
    </row>
    <row r="25" spans="1:23" ht="15.75" customHeight="1">
      <c r="A25" s="607"/>
      <c r="B25" s="1066"/>
      <c r="C25" s="5"/>
      <c r="D25" s="5"/>
      <c r="E25" s="5"/>
      <c r="F25" s="5"/>
      <c r="G25" s="5"/>
      <c r="H25" s="2"/>
      <c r="I25" s="3"/>
      <c r="J25" s="3"/>
      <c r="K25" s="3"/>
      <c r="L25" s="3"/>
      <c r="M25" s="1415"/>
      <c r="N25" s="6"/>
      <c r="O25" s="644"/>
      <c r="P25" s="607"/>
      <c r="Q25" s="1551" t="str">
        <f ca="1">"Dag "&amp;IF(R9="","?",_xlfn.DAYS(R25,R23)+1)</f>
        <v>Dag 4</v>
      </c>
      <c r="R25" s="1922">
        <f ca="1">IF(R9="","?",R23+SUM(S11:S18))</f>
        <v>45926.729166666664</v>
      </c>
      <c r="S25" s="1922"/>
      <c r="T25" s="1922"/>
      <c r="U25" s="607"/>
    </row>
    <row r="26" spans="1:23" ht="15">
      <c r="A26" s="607"/>
      <c r="B26" s="1066"/>
      <c r="N26" s="6"/>
      <c r="O26" s="644"/>
      <c r="P26" s="607"/>
      <c r="Q26" s="610"/>
      <c r="R26" s="610"/>
      <c r="S26" s="611"/>
      <c r="T26" s="607"/>
      <c r="U26" s="607"/>
      <c r="W26" s="156"/>
    </row>
    <row r="27" spans="1:23" ht="19.5" thickBot="1">
      <c r="A27" s="607"/>
      <c r="B27" s="1379" t="s">
        <v>1035</v>
      </c>
      <c r="C27" s="1556" t="str">
        <f>IF(M8="","Dag 1","Biga")</f>
        <v>Dag 1</v>
      </c>
      <c r="D27" s="898" t="s">
        <v>648</v>
      </c>
      <c r="E27" s="1957"/>
      <c r="F27" s="1957"/>
      <c r="G27" s="2036" t="str">
        <f>IF(M8="","","Start ca. kl.")</f>
        <v/>
      </c>
      <c r="H27" s="2036"/>
      <c r="I27" s="1213"/>
      <c r="J27" s="1214"/>
      <c r="K27" s="2037" t="str">
        <f ca="1">TEXT(R23,"dddd")</f>
        <v>tirsdag</v>
      </c>
      <c r="L27" s="2037"/>
      <c r="M27" s="1808">
        <f ca="1">IF($R$8="","",R23)</f>
        <v>45923.753472222219</v>
      </c>
      <c r="N27" s="6"/>
      <c r="O27" s="644"/>
      <c r="P27" s="652"/>
      <c r="Q27" s="696"/>
      <c r="R27" s="696"/>
      <c r="S27" s="654"/>
      <c r="T27" s="1540"/>
      <c r="U27" s="1540"/>
      <c r="W27" s="156"/>
    </row>
    <row r="28" spans="1:23" ht="15.75" customHeight="1">
      <c r="A28" s="607"/>
      <c r="B28" s="1057"/>
      <c r="C28" s="936"/>
      <c r="D28" s="5"/>
      <c r="E28" s="1019"/>
      <c r="F28" s="1019"/>
      <c r="G28" s="1069"/>
      <c r="H28" s="1069"/>
      <c r="I28" s="975"/>
      <c r="J28" s="1073"/>
      <c r="K28" s="425"/>
      <c r="L28" s="5"/>
      <c r="M28" s="11"/>
      <c r="N28" s="6"/>
      <c r="O28" s="644"/>
      <c r="P28" s="607"/>
      <c r="Q28" s="610"/>
      <c r="R28" s="610"/>
      <c r="S28" s="611"/>
      <c r="T28" s="607"/>
      <c r="U28" s="607"/>
    </row>
    <row r="29" spans="1:23" ht="15.75" customHeight="1">
      <c r="A29" s="607"/>
      <c r="B29" s="1398" t="s">
        <v>1034</v>
      </c>
      <c r="C29" s="1023">
        <v>1</v>
      </c>
      <c r="D29" s="425" t="str">
        <f>IF(AA11="frisk gær","Gæren røres ud i vandet og tilsæt mel. Spred alle dine finger og kør dem igennem","Gæren vendes i melet og vandet tilsættes. Spred dine fingre og kør dem igennem")</f>
        <v>Gæren vendes i melet og vandet tilsættes. Spred dine fingre og kør dem igennem</v>
      </c>
      <c r="E29" s="425"/>
      <c r="F29" s="425"/>
      <c r="G29" s="425"/>
      <c r="H29" s="425"/>
      <c r="I29" s="425"/>
      <c r="J29" s="425"/>
      <c r="K29" s="425"/>
      <c r="L29" s="1270" t="str">
        <f>ROUND(I21,0)&amp;" g. vand (25°), "&amp;ROUND(I22,1)&amp;" g. "&amp;AA11</f>
        <v>482 g. vand (25°), 2,2 g. tørgær</v>
      </c>
      <c r="M29" s="136"/>
      <c r="N29" s="6"/>
      <c r="O29" s="644"/>
      <c r="P29" s="607"/>
      <c r="Q29" s="610"/>
      <c r="R29" s="610"/>
      <c r="S29" s="611"/>
      <c r="T29" s="737"/>
      <c r="U29" s="607"/>
    </row>
    <row r="30" spans="1:23" ht="15.75">
      <c r="A30" s="607"/>
      <c r="B30" s="1059"/>
      <c r="C30" s="1023"/>
      <c r="D30" s="425" t="s">
        <v>743</v>
      </c>
      <c r="E30" s="425"/>
      <c r="F30" s="425"/>
      <c r="G30" s="425"/>
      <c r="H30" s="425"/>
      <c r="I30" s="425"/>
      <c r="J30" s="425"/>
      <c r="K30" s="425"/>
      <c r="L30" s="1275" t="str">
        <f>ROUND(I20,0)&amp;" g. mel."</f>
        <v>965 g. mel.</v>
      </c>
      <c r="M30" s="137"/>
      <c r="N30" s="6"/>
      <c r="O30" s="644"/>
      <c r="P30" s="607"/>
      <c r="Q30" s="674" t="s">
        <v>482</v>
      </c>
      <c r="R30" s="674"/>
      <c r="S30" s="616"/>
      <c r="T30" s="607"/>
      <c r="U30" s="607"/>
    </row>
    <row r="31" spans="1:23" ht="15.75">
      <c r="A31" s="607"/>
      <c r="B31" s="1059"/>
      <c r="C31" s="425"/>
      <c r="D31" s="893" t="s">
        <v>744</v>
      </c>
      <c r="E31" s="425"/>
      <c r="F31" s="425"/>
      <c r="G31" s="425"/>
      <c r="H31" s="425"/>
      <c r="I31" s="425"/>
      <c r="J31" s="425"/>
      <c r="K31" s="425"/>
      <c r="L31" s="425"/>
      <c r="M31" s="11"/>
      <c r="N31" s="6"/>
      <c r="O31" s="644"/>
      <c r="P31" s="608"/>
      <c r="Q31" s="610" t="s">
        <v>1102</v>
      </c>
      <c r="R31" s="610"/>
      <c r="S31" s="617"/>
      <c r="T31" s="607"/>
      <c r="U31" s="607"/>
    </row>
    <row r="32" spans="1:23" ht="15.75">
      <c r="A32" s="607"/>
      <c r="B32" s="1059"/>
      <c r="C32" s="425"/>
      <c r="D32" s="425"/>
      <c r="E32" s="425"/>
      <c r="F32" s="425"/>
      <c r="G32" s="425"/>
      <c r="H32" s="425"/>
      <c r="I32" s="425"/>
      <c r="J32" s="425"/>
      <c r="K32" s="425"/>
      <c r="L32" s="425"/>
      <c r="M32" s="11"/>
      <c r="N32" s="6"/>
      <c r="O32" s="644"/>
      <c r="P32" s="608"/>
      <c r="Q32" s="610"/>
      <c r="R32" s="610"/>
      <c r="S32" s="617"/>
      <c r="T32" s="607"/>
      <c r="U32" s="607"/>
    </row>
    <row r="33" spans="1:21" ht="18">
      <c r="A33" s="607"/>
      <c r="B33" s="1398" t="s">
        <v>1034</v>
      </c>
      <c r="C33" s="1023">
        <v>2</v>
      </c>
      <c r="D33" s="425" t="s">
        <v>835</v>
      </c>
      <c r="E33" s="425"/>
      <c r="F33" s="425"/>
      <c r="G33" s="425"/>
      <c r="H33" s="425"/>
      <c r="I33" s="425"/>
      <c r="J33" s="425"/>
      <c r="K33" s="425"/>
      <c r="L33" s="1024"/>
      <c r="M33" s="11"/>
      <c r="N33" s="6"/>
      <c r="O33" s="644"/>
      <c r="P33" s="608"/>
      <c r="Q33" s="610" t="s">
        <v>359</v>
      </c>
      <c r="R33" s="610"/>
      <c r="S33" s="607"/>
      <c r="T33" s="607"/>
      <c r="U33" s="607"/>
    </row>
    <row r="34" spans="1:21" ht="15.75">
      <c r="A34" s="607"/>
      <c r="B34" s="1059"/>
      <c r="C34" s="1023"/>
      <c r="D34" s="425" t="str">
        <f>IF(R8="","Sæt herefter på køl i ca. 24-48 timer.","Sæt herefter på køl i ca. "&amp;TEXT(S12,"[tt]")&amp;" timer.")</f>
        <v>Sæt herefter på køl i ca. 24 timer.</v>
      </c>
      <c r="E34" s="425"/>
      <c r="F34" s="425"/>
      <c r="G34" s="425"/>
      <c r="H34" s="425"/>
      <c r="I34" s="425"/>
      <c r="J34" s="425"/>
      <c r="K34" s="425"/>
      <c r="L34" s="1063"/>
      <c r="M34" s="1071"/>
      <c r="N34" s="6"/>
      <c r="O34" s="644"/>
      <c r="P34" s="1268"/>
      <c r="Q34" s="608" t="s">
        <v>360</v>
      </c>
      <c r="R34" s="608"/>
      <c r="S34" s="607"/>
      <c r="T34" s="607"/>
      <c r="U34" s="607"/>
    </row>
    <row r="35" spans="1:21" ht="15.75">
      <c r="A35" s="607"/>
      <c r="B35" s="1059"/>
      <c r="C35" s="1023"/>
      <c r="D35" s="425"/>
      <c r="E35" s="425"/>
      <c r="F35" s="425"/>
      <c r="G35" s="425"/>
      <c r="H35" s="897"/>
      <c r="I35" s="425"/>
      <c r="J35" s="425"/>
      <c r="K35" s="425"/>
      <c r="L35" s="1065"/>
      <c r="M35" s="1071"/>
      <c r="N35" s="6"/>
      <c r="O35" s="644"/>
      <c r="P35" s="1268"/>
      <c r="Q35" s="610" t="s">
        <v>354</v>
      </c>
      <c r="R35" s="610"/>
      <c r="S35" s="617"/>
      <c r="T35" s="607"/>
      <c r="U35" s="607"/>
    </row>
    <row r="36" spans="1:21" ht="15.75">
      <c r="A36" s="607"/>
      <c r="B36" s="1059"/>
      <c r="C36" s="1023"/>
      <c r="D36" s="425"/>
      <c r="E36" s="425"/>
      <c r="F36" s="425"/>
      <c r="G36" s="425"/>
      <c r="H36" s="897"/>
      <c r="I36" s="425"/>
      <c r="J36" s="425"/>
      <c r="K36" s="425"/>
      <c r="L36" s="1065"/>
      <c r="M36" s="1071"/>
      <c r="N36" s="6"/>
      <c r="O36" s="644"/>
      <c r="P36" s="1268"/>
      <c r="Q36" s="610" t="s">
        <v>356</v>
      </c>
      <c r="R36" s="610"/>
      <c r="S36" s="617"/>
      <c r="T36" s="607"/>
      <c r="U36" s="607"/>
    </row>
    <row r="37" spans="1:21" ht="15.75">
      <c r="A37" s="607"/>
      <c r="B37" s="1059"/>
      <c r="C37" s="1023"/>
      <c r="D37" s="425"/>
      <c r="E37" s="425"/>
      <c r="F37" s="425"/>
      <c r="G37" s="425"/>
      <c r="H37" s="897"/>
      <c r="I37" s="425"/>
      <c r="J37" s="425"/>
      <c r="K37" s="425"/>
      <c r="L37" s="1065"/>
      <c r="M37" s="1071"/>
      <c r="N37" s="6"/>
      <c r="O37" s="644"/>
      <c r="P37" s="607"/>
      <c r="Q37" s="610"/>
      <c r="R37" s="610"/>
      <c r="S37" s="617"/>
      <c r="T37" s="607"/>
      <c r="U37" s="607"/>
    </row>
    <row r="38" spans="1:21" ht="17.25">
      <c r="A38" s="607"/>
      <c r="B38" s="2"/>
      <c r="C38" s="1667" t="str">
        <f>IF(R8="","Dag 2-3",Q24)</f>
        <v>Dag 2</v>
      </c>
      <c r="D38" s="898" t="s">
        <v>201</v>
      </c>
      <c r="E38" s="899"/>
      <c r="F38" s="1056"/>
      <c r="G38" s="1212" t="str">
        <f>IF(M8="","","Start ca. kl.")</f>
        <v/>
      </c>
      <c r="H38" s="1212"/>
      <c r="I38" s="1213"/>
      <c r="J38" s="535"/>
      <c r="K38" s="2037" t="str">
        <f ca="1">TEXT(R24,"dddd")</f>
        <v>onsdag</v>
      </c>
      <c r="L38" s="2037"/>
      <c r="M38" s="1809">
        <f ca="1">IF($R$8="","",R24)</f>
        <v>45924.763888888883</v>
      </c>
      <c r="N38" s="6"/>
      <c r="O38" s="644"/>
      <c r="P38" s="607"/>
      <c r="Q38" s="615" t="s">
        <v>361</v>
      </c>
      <c r="R38" s="615"/>
      <c r="S38" s="618"/>
      <c r="T38" s="607"/>
      <c r="U38" s="607"/>
    </row>
    <row r="39" spans="1:21" ht="15.75">
      <c r="A39" s="607"/>
      <c r="B39" s="7"/>
      <c r="C39" s="936"/>
      <c r="D39" s="5"/>
      <c r="E39" s="1019"/>
      <c r="F39" s="1019"/>
      <c r="G39" s="1069"/>
      <c r="H39" s="1069"/>
      <c r="I39" s="975"/>
      <c r="J39" s="425"/>
      <c r="K39" s="425"/>
      <c r="L39" s="425"/>
      <c r="M39" s="1072"/>
      <c r="N39" s="6"/>
      <c r="O39" s="644"/>
      <c r="P39" s="607"/>
      <c r="Q39" s="720" t="s">
        <v>338</v>
      </c>
      <c r="R39" s="720"/>
      <c r="S39" s="189">
        <v>20</v>
      </c>
      <c r="T39" s="607"/>
      <c r="U39" s="607"/>
    </row>
    <row r="40" spans="1:21" ht="18">
      <c r="A40" s="607"/>
      <c r="B40" s="1398" t="s">
        <v>1034</v>
      </c>
      <c r="C40" s="1023">
        <v>3</v>
      </c>
      <c r="D40" s="425" t="s">
        <v>837</v>
      </c>
      <c r="E40" s="902"/>
      <c r="F40" s="902"/>
      <c r="G40" s="425"/>
      <c r="H40" s="425"/>
      <c r="I40" s="425"/>
      <c r="J40" s="425"/>
      <c r="K40" s="425"/>
      <c r="L40" s="1269" t="str">
        <f>ROUND(L21,0)&amp;" "&amp;M21</f>
        <v>145 g vand (fra køl 5-7°)</v>
      </c>
      <c r="M40" s="840"/>
      <c r="N40" s="6"/>
      <c r="O40" s="644"/>
      <c r="P40" s="607"/>
      <c r="Q40" s="645" t="s">
        <v>1103</v>
      </c>
      <c r="R40" s="645"/>
      <c r="S40" s="190"/>
      <c r="T40" s="607"/>
      <c r="U40" s="607"/>
    </row>
    <row r="41" spans="1:21" ht="15.75">
      <c r="A41" s="607"/>
      <c r="B41" s="1059"/>
      <c r="C41" s="425"/>
      <c r="D41" s="425"/>
      <c r="E41" s="425"/>
      <c r="F41" s="425"/>
      <c r="G41" s="425"/>
      <c r="H41" s="425"/>
      <c r="I41" s="425"/>
      <c r="J41" s="425"/>
      <c r="K41" s="425"/>
      <c r="L41" s="425"/>
      <c r="M41" s="11"/>
      <c r="N41" s="6"/>
      <c r="O41" s="644"/>
      <c r="P41" s="610"/>
      <c r="Q41" s="645" t="s">
        <v>340</v>
      </c>
      <c r="R41" s="645"/>
      <c r="S41" s="190">
        <v>7</v>
      </c>
      <c r="T41" s="607"/>
      <c r="U41" s="607"/>
    </row>
    <row r="42" spans="1:21" ht="18">
      <c r="A42" s="607"/>
      <c r="B42" s="1398" t="s">
        <v>1034</v>
      </c>
      <c r="C42" s="1023">
        <v>4</v>
      </c>
      <c r="D42" s="425" t="s">
        <v>674</v>
      </c>
      <c r="E42" s="425"/>
      <c r="F42" s="425"/>
      <c r="G42" s="425"/>
      <c r="H42" s="425"/>
      <c r="I42" s="425"/>
      <c r="J42" s="425"/>
      <c r="K42" s="425"/>
      <c r="L42" s="425"/>
      <c r="M42" s="11"/>
      <c r="N42" s="6"/>
      <c r="O42" s="644"/>
      <c r="P42" s="610"/>
      <c r="Q42" s="612" t="s">
        <v>341</v>
      </c>
      <c r="R42" s="612"/>
      <c r="S42" s="191">
        <v>8</v>
      </c>
      <c r="T42" s="607"/>
      <c r="U42" s="607"/>
    </row>
    <row r="43" spans="1:21" ht="15" customHeight="1">
      <c r="A43" s="607"/>
      <c r="B43" s="1059"/>
      <c r="C43" s="425"/>
      <c r="D43" s="425"/>
      <c r="E43" s="425"/>
      <c r="F43" s="425"/>
      <c r="G43" s="425"/>
      <c r="H43" s="425"/>
      <c r="I43" s="425"/>
      <c r="J43" s="425"/>
      <c r="K43" s="425"/>
      <c r="L43" s="425"/>
      <c r="M43" s="11"/>
      <c r="N43" s="6"/>
      <c r="O43" s="644"/>
      <c r="P43" s="610"/>
      <c r="Q43" s="645" t="s">
        <v>342</v>
      </c>
      <c r="R43" s="645"/>
      <c r="S43" s="2012" t="str">
        <f>IF(OR(S39="",S40=""),"",(S39*2)-S40-S41-(S42*2)&amp;"°")</f>
        <v/>
      </c>
      <c r="T43" s="607"/>
      <c r="U43" s="607"/>
    </row>
    <row r="44" spans="1:21" ht="15" customHeight="1">
      <c r="A44" s="607"/>
      <c r="B44" s="1398" t="s">
        <v>1034</v>
      </c>
      <c r="C44" s="1023">
        <v>5</v>
      </c>
      <c r="D44" s="425" t="s">
        <v>733</v>
      </c>
      <c r="E44" s="425"/>
      <c r="F44" s="425"/>
      <c r="G44" s="425"/>
      <c r="H44" s="425"/>
      <c r="I44" s="425"/>
      <c r="J44" s="425"/>
      <c r="K44" s="425"/>
      <c r="L44" s="1022"/>
      <c r="M44" s="1070"/>
      <c r="N44" s="6"/>
      <c r="O44" s="644"/>
      <c r="P44" s="610"/>
      <c r="Q44" s="647" t="s">
        <v>343</v>
      </c>
      <c r="R44" s="647"/>
      <c r="S44" s="2013"/>
      <c r="T44" s="607"/>
      <c r="U44" s="607"/>
    </row>
    <row r="45" spans="1:21" ht="15" customHeight="1">
      <c r="A45" s="607"/>
      <c r="B45" s="1059"/>
      <c r="C45" s="5"/>
      <c r="D45" s="5"/>
      <c r="E45" s="5"/>
      <c r="F45" s="425"/>
      <c r="G45" s="425"/>
      <c r="H45" s="425"/>
      <c r="I45" s="425"/>
      <c r="J45" s="425"/>
      <c r="K45" s="425"/>
      <c r="L45" s="425"/>
      <c r="M45" s="11"/>
      <c r="N45" s="6"/>
      <c r="O45" s="644"/>
      <c r="P45" s="610"/>
      <c r="Q45" s="608"/>
      <c r="R45" s="608"/>
      <c r="S45" s="608"/>
      <c r="T45" s="608"/>
      <c r="U45" s="607"/>
    </row>
    <row r="46" spans="1:21" ht="15" customHeight="1">
      <c r="A46" s="607"/>
      <c r="B46" s="1398" t="s">
        <v>1034</v>
      </c>
      <c r="C46" s="1068">
        <v>6</v>
      </c>
      <c r="D46" s="425" t="str">
        <f>"Tilsæt salt"&amp;IF(W11&lt;&gt;1," og mel","")&amp;" og ælt dejen i yderligere 6-8 min. ved mellem hastighed."</f>
        <v>Tilsæt salt og ælt dejen i yderligere 6-8 min. ved mellem hastighed.</v>
      </c>
      <c r="E46" s="425"/>
      <c r="F46" s="425"/>
      <c r="G46" s="425"/>
      <c r="H46" s="425"/>
      <c r="I46" s="425"/>
      <c r="J46" s="425"/>
      <c r="K46" s="1058"/>
      <c r="L46" s="1269" t="str">
        <f>ROUND(L22,0)&amp;" g. salt"&amp;IF(W11&lt;&gt;1,", "&amp;ROUND(L20,0)&amp;" g mel","")</f>
        <v>26 g. salt</v>
      </c>
      <c r="M46" s="141"/>
      <c r="N46" s="6"/>
      <c r="O46" s="644"/>
      <c r="P46" s="610"/>
      <c r="Q46" s="608"/>
      <c r="R46" s="608"/>
      <c r="S46" s="608"/>
      <c r="T46" s="608"/>
      <c r="U46" s="607"/>
    </row>
    <row r="47" spans="1:21" ht="15" customHeight="1">
      <c r="A47" s="607"/>
      <c r="B47" s="1059"/>
      <c r="C47" s="425"/>
      <c r="D47" s="425"/>
      <c r="E47" s="425"/>
      <c r="F47" s="425"/>
      <c r="G47" s="425"/>
      <c r="H47" s="425"/>
      <c r="I47" s="425"/>
      <c r="J47" s="425"/>
      <c r="K47" s="425"/>
      <c r="L47" s="5"/>
      <c r="M47" s="11"/>
      <c r="N47" s="6"/>
      <c r="O47" s="644"/>
      <c r="P47" s="610"/>
      <c r="Q47" s="609" t="s">
        <v>362</v>
      </c>
      <c r="R47" s="609"/>
      <c r="S47" s="609"/>
      <c r="T47" s="608"/>
      <c r="U47" s="607"/>
    </row>
    <row r="48" spans="1:21" ht="15" customHeight="1">
      <c r="A48" s="607"/>
      <c r="B48" s="1398" t="s">
        <v>1034</v>
      </c>
      <c r="C48" s="1068">
        <v>7</v>
      </c>
      <c r="D48" s="425" t="s">
        <v>836</v>
      </c>
      <c r="E48" s="892"/>
      <c r="F48" s="892"/>
      <c r="G48" s="892"/>
      <c r="H48" s="892"/>
      <c r="I48" s="893"/>
      <c r="J48" s="893"/>
      <c r="K48" s="5"/>
      <c r="L48" s="5"/>
      <c r="M48" s="11"/>
      <c r="N48" s="6"/>
      <c r="O48" s="644"/>
      <c r="P48" s="610"/>
      <c r="Q48" s="610" t="s">
        <v>364</v>
      </c>
      <c r="R48" s="610"/>
      <c r="S48" s="608"/>
      <c r="T48" s="608"/>
      <c r="U48" s="607"/>
    </row>
    <row r="49" spans="1:21" ht="15" customHeight="1">
      <c r="A49" s="607"/>
      <c r="B49" s="1059"/>
      <c r="C49" s="425"/>
      <c r="D49" s="425" t="s">
        <v>650</v>
      </c>
      <c r="E49" s="425"/>
      <c r="F49" s="425"/>
      <c r="G49" s="425"/>
      <c r="H49" s="425"/>
      <c r="I49" s="425"/>
      <c r="J49" s="425"/>
      <c r="K49" s="425"/>
      <c r="L49" s="5"/>
      <c r="M49" s="11"/>
      <c r="N49" s="6"/>
      <c r="O49" s="644"/>
      <c r="P49" s="607"/>
      <c r="Q49" s="610" t="s">
        <v>363</v>
      </c>
      <c r="R49" s="610"/>
      <c r="S49" s="608"/>
      <c r="T49" s="608"/>
      <c r="U49" s="607"/>
    </row>
    <row r="50" spans="1:21" ht="15" customHeight="1">
      <c r="A50" s="607"/>
      <c r="B50" s="1059"/>
      <c r="C50" s="5"/>
      <c r="D50" s="5"/>
      <c r="E50" s="5"/>
      <c r="F50" s="5"/>
      <c r="G50" s="5"/>
      <c r="H50" s="5"/>
      <c r="I50" s="5"/>
      <c r="J50" s="5"/>
      <c r="K50" s="425"/>
      <c r="L50" s="894"/>
      <c r="M50" s="11"/>
      <c r="N50" s="6"/>
      <c r="O50" s="644"/>
      <c r="P50" s="607"/>
      <c r="Q50" s="651" t="s">
        <v>365</v>
      </c>
      <c r="R50" s="651"/>
      <c r="S50" s="608"/>
      <c r="T50" s="607"/>
      <c r="U50" s="607"/>
    </row>
    <row r="51" spans="1:21" ht="15" customHeight="1">
      <c r="A51" s="607"/>
      <c r="B51" s="1398" t="s">
        <v>1034</v>
      </c>
      <c r="C51" s="1068">
        <v>8</v>
      </c>
      <c r="D51" s="425" t="str">
        <f>"Lad dejen hæve i ca. 15-30 min. og del dejen i "&amp;F7&amp;" lige store klumper."</f>
        <v>Lad dejen hæve i ca. 15-30 min. og del dejen i 6 lige store klumper.</v>
      </c>
      <c r="E51" s="5"/>
      <c r="F51" s="5"/>
      <c r="G51" s="5"/>
      <c r="H51" s="5"/>
      <c r="I51" s="5"/>
      <c r="J51" s="5"/>
      <c r="K51" s="425"/>
      <c r="L51" s="894"/>
      <c r="M51" s="11"/>
      <c r="N51" s="6"/>
      <c r="O51" s="644"/>
      <c r="P51" s="607"/>
      <c r="Q51" s="608" t="s">
        <v>474</v>
      </c>
      <c r="R51" s="651"/>
      <c r="S51" s="608"/>
      <c r="T51" s="607"/>
      <c r="U51" s="607"/>
    </row>
    <row r="52" spans="1:21" ht="15" customHeight="1">
      <c r="A52" s="607"/>
      <c r="B52" s="1059"/>
      <c r="C52" s="425"/>
      <c r="D52" s="425"/>
      <c r="E52" s="425"/>
      <c r="F52" s="425"/>
      <c r="G52" s="425"/>
      <c r="H52" s="425"/>
      <c r="I52" s="425"/>
      <c r="J52" s="425"/>
      <c r="K52" s="425"/>
      <c r="L52" s="5"/>
      <c r="M52" s="11"/>
      <c r="N52" s="6"/>
      <c r="O52" s="644"/>
      <c r="P52" s="607"/>
      <c r="Q52" s="608" t="s">
        <v>366</v>
      </c>
      <c r="R52" s="651"/>
      <c r="S52" s="608"/>
      <c r="T52" s="607"/>
      <c r="U52" s="607"/>
    </row>
    <row r="53" spans="1:21" ht="15" customHeight="1">
      <c r="A53" s="607"/>
      <c r="B53" s="1398" t="s">
        <v>1034</v>
      </c>
      <c r="C53" s="1068">
        <v>9</v>
      </c>
      <c r="D53" s="425" t="s">
        <v>307</v>
      </c>
      <c r="E53" s="425"/>
      <c r="F53" s="425"/>
      <c r="G53" s="425"/>
      <c r="H53" s="425"/>
      <c r="I53" s="425"/>
      <c r="J53" s="425"/>
      <c r="K53" s="425"/>
      <c r="L53" s="5"/>
      <c r="M53" s="11"/>
      <c r="N53" s="6"/>
      <c r="O53" s="644"/>
      <c r="P53" s="607"/>
      <c r="Q53" s="610"/>
      <c r="R53" s="608"/>
      <c r="S53" s="611"/>
      <c r="T53" s="607"/>
      <c r="U53" s="607"/>
    </row>
    <row r="54" spans="1:21" ht="15" customHeight="1">
      <c r="A54" s="607"/>
      <c r="B54" s="1059"/>
      <c r="C54" s="425"/>
      <c r="D54" s="425"/>
      <c r="E54" s="425"/>
      <c r="F54" s="425"/>
      <c r="G54" s="425"/>
      <c r="H54" s="425"/>
      <c r="I54" s="425"/>
      <c r="J54" s="425"/>
      <c r="K54" s="425"/>
      <c r="L54" s="5"/>
      <c r="M54" s="11"/>
      <c r="N54" s="6"/>
      <c r="O54" s="644"/>
      <c r="P54" s="607"/>
      <c r="Q54" s="610"/>
      <c r="R54" s="608"/>
      <c r="S54" s="611"/>
      <c r="T54" s="607"/>
      <c r="U54" s="607"/>
    </row>
    <row r="55" spans="1:21" ht="15" customHeight="1">
      <c r="A55" s="607"/>
      <c r="B55" s="1398" t="s">
        <v>1034</v>
      </c>
      <c r="C55" s="1023">
        <v>10</v>
      </c>
      <c r="D55" s="425" t="str">
        <f>IF(R8="","Placer dem i en lukket kasse (hævekasse) og sæt dem på køl i ca. 24-48 timer.","Placer dem i en lukket kasse (hævekasse) og sæt dem på køl i ca. "&amp;TEXT(S16,"[tt]")&amp;" timer.")</f>
        <v>Placer dem i en lukket kasse (hævekasse) og sæt dem på køl i ca. 46 timer.</v>
      </c>
      <c r="E55" s="425"/>
      <c r="F55" s="425"/>
      <c r="G55" s="425"/>
      <c r="H55" s="425"/>
      <c r="I55" s="425"/>
      <c r="J55" s="425"/>
      <c r="K55" s="425"/>
      <c r="L55" s="895"/>
      <c r="M55" s="895"/>
      <c r="N55" s="6"/>
      <c r="O55" s="644"/>
      <c r="P55" s="607"/>
      <c r="Q55" s="610"/>
      <c r="R55" s="608"/>
      <c r="S55" s="611"/>
      <c r="T55" s="607"/>
      <c r="U55" s="607"/>
    </row>
    <row r="56" spans="1:21" ht="15" customHeight="1">
      <c r="A56" s="607"/>
      <c r="B56" s="1059"/>
      <c r="C56" s="1023"/>
      <c r="D56" s="425"/>
      <c r="E56" s="425"/>
      <c r="F56" s="425"/>
      <c r="G56" s="425"/>
      <c r="H56" s="425"/>
      <c r="I56" s="425"/>
      <c r="J56" s="425"/>
      <c r="K56" s="425"/>
      <c r="L56" s="5"/>
      <c r="M56" s="11"/>
      <c r="N56" s="6"/>
      <c r="O56" s="644"/>
      <c r="P56" s="607"/>
      <c r="Q56" s="610"/>
      <c r="R56" s="610"/>
      <c r="S56" s="611"/>
      <c r="T56" s="607"/>
      <c r="U56" s="607"/>
    </row>
    <row r="57" spans="1:21" ht="15" customHeight="1">
      <c r="A57" s="607"/>
      <c r="B57" s="1059"/>
      <c r="C57" s="1023"/>
      <c r="D57" s="425"/>
      <c r="E57" s="425"/>
      <c r="F57" s="425"/>
      <c r="G57" s="425"/>
      <c r="H57" s="425"/>
      <c r="I57" s="425"/>
      <c r="J57" s="425"/>
      <c r="K57" s="425"/>
      <c r="L57" s="5"/>
      <c r="M57" s="11"/>
      <c r="N57" s="6"/>
      <c r="O57" s="644"/>
      <c r="P57" s="607"/>
      <c r="Q57" s="610"/>
      <c r="R57" s="610"/>
      <c r="S57" s="611"/>
      <c r="T57" s="607"/>
      <c r="U57" s="607"/>
    </row>
    <row r="58" spans="1:21" ht="15" customHeight="1">
      <c r="A58" s="607"/>
      <c r="B58" s="1059"/>
      <c r="C58" s="1023"/>
      <c r="D58" s="425"/>
      <c r="E58" s="425"/>
      <c r="F58" s="425"/>
      <c r="G58" s="425"/>
      <c r="H58" s="425"/>
      <c r="I58" s="425"/>
      <c r="J58" s="425"/>
      <c r="K58" s="425"/>
      <c r="L58" s="5"/>
      <c r="M58" s="11"/>
      <c r="N58" s="6"/>
      <c r="O58" s="644"/>
      <c r="P58" s="607"/>
      <c r="Q58" s="610"/>
      <c r="R58" s="610"/>
      <c r="S58" s="611"/>
      <c r="T58" s="607"/>
      <c r="U58" s="607"/>
    </row>
    <row r="59" spans="1:21" ht="15" customHeight="1">
      <c r="A59" s="607"/>
      <c r="B59" s="2034" t="str">
        <f ca="1">IF(R8="","Dag 3-4",Q25)</f>
        <v>Dag 4</v>
      </c>
      <c r="C59" s="2035"/>
      <c r="D59" s="1557" t="s">
        <v>1067</v>
      </c>
      <c r="E59" s="1377"/>
      <c r="F59" s="1056"/>
      <c r="G59" s="1212" t="str">
        <f>IF(M8="","","Start ca. kl.")</f>
        <v/>
      </c>
      <c r="H59" s="1212"/>
      <c r="I59" s="1213" t="str">
        <f>IF(M8="","",TEXT(D59-0.25/24,"tt:mm"))</f>
        <v/>
      </c>
      <c r="J59" s="535"/>
      <c r="K59" s="2038" t="str">
        <f ca="1">TEXT(R25,"dddd")</f>
        <v>fredag</v>
      </c>
      <c r="L59" s="2038"/>
      <c r="M59" s="1809">
        <f ca="1">IF($R$8="","",R25)</f>
        <v>45926.729166666664</v>
      </c>
      <c r="N59" s="6"/>
      <c r="O59" s="644"/>
      <c r="P59" s="607"/>
      <c r="Q59" s="610"/>
      <c r="R59" s="610"/>
      <c r="S59" s="611"/>
      <c r="T59" s="607"/>
      <c r="U59" s="607"/>
    </row>
    <row r="60" spans="1:21" ht="15" customHeight="1">
      <c r="A60" s="607"/>
      <c r="B60" s="7"/>
      <c r="C60" s="936"/>
      <c r="D60" s="5"/>
      <c r="E60" s="1019"/>
      <c r="F60" s="1019"/>
      <c r="G60" s="1069"/>
      <c r="H60" s="1069"/>
      <c r="I60" s="975"/>
      <c r="J60" s="425"/>
      <c r="K60" s="425"/>
      <c r="L60" s="5"/>
      <c r="M60" s="11"/>
      <c r="N60" s="6"/>
      <c r="O60" s="644"/>
      <c r="P60" s="607"/>
      <c r="Q60" s="610"/>
      <c r="R60" s="610"/>
      <c r="S60" s="611"/>
      <c r="T60" s="607"/>
      <c r="U60" s="607"/>
    </row>
    <row r="61" spans="1:21" ht="15" customHeight="1">
      <c r="A61" s="607"/>
      <c r="B61" s="1398" t="s">
        <v>1034</v>
      </c>
      <c r="C61" s="1023">
        <v>11</v>
      </c>
      <c r="D61" s="896" t="str">
        <f>IF(OR(R8="",S19=0),"Tag dejen ud. Form til pizza direkte fra køl.","Tag dejen ud og lade den temperere i "&amp;TEXT(S19,"[t]")&amp;" time(r).")</f>
        <v>Tag dejen ud. Form til pizza direkte fra køl.</v>
      </c>
      <c r="E61" s="896"/>
      <c r="F61" s="896"/>
      <c r="G61" s="896"/>
      <c r="H61" s="896"/>
      <c r="I61" s="896"/>
      <c r="J61" s="896"/>
      <c r="K61" s="896"/>
      <c r="L61" s="27"/>
      <c r="M61" s="5"/>
      <c r="N61" s="6"/>
      <c r="O61" s="644"/>
      <c r="P61" s="607"/>
      <c r="Q61" s="610"/>
      <c r="R61" s="610"/>
      <c r="S61" s="611"/>
      <c r="T61" s="607"/>
      <c r="U61" s="607"/>
    </row>
    <row r="62" spans="1:21" ht="15" customHeight="1">
      <c r="A62" s="607"/>
      <c r="B62" s="2"/>
      <c r="C62" s="3"/>
      <c r="D62" s="3"/>
      <c r="E62" s="3"/>
      <c r="F62" s="3"/>
      <c r="G62" s="3"/>
      <c r="H62" s="3"/>
      <c r="I62" s="3"/>
      <c r="J62" s="3"/>
      <c r="K62" s="3"/>
      <c r="L62" s="1062" t="s">
        <v>523</v>
      </c>
      <c r="M62" s="1062"/>
      <c r="N62" s="1060"/>
      <c r="O62" s="644"/>
      <c r="P62" s="607"/>
      <c r="Q62" s="610"/>
      <c r="R62" s="610"/>
      <c r="S62" s="611"/>
      <c r="T62" s="607"/>
      <c r="U62" s="607"/>
    </row>
    <row r="63" spans="1:21" ht="15" customHeight="1">
      <c r="A63" s="607"/>
      <c r="B63" s="607"/>
      <c r="C63" s="607"/>
      <c r="D63" s="607"/>
      <c r="E63" s="607"/>
      <c r="F63" s="607"/>
      <c r="G63" s="607"/>
      <c r="H63" s="607"/>
      <c r="I63" s="607"/>
      <c r="J63" s="607"/>
      <c r="K63" s="607"/>
      <c r="L63" s="607"/>
      <c r="M63" s="722"/>
      <c r="N63" s="607"/>
      <c r="O63" s="644"/>
      <c r="P63" s="607"/>
      <c r="Q63" s="610"/>
      <c r="R63" s="610"/>
      <c r="S63" s="611"/>
      <c r="T63" s="607"/>
      <c r="U63" s="607"/>
    </row>
    <row r="64" spans="1:21" ht="15" customHeight="1">
      <c r="A64" s="607"/>
      <c r="B64" s="607"/>
      <c r="C64" s="607"/>
      <c r="D64" s="607"/>
      <c r="E64" s="607"/>
      <c r="F64" s="607"/>
      <c r="G64" s="607"/>
      <c r="H64" s="607"/>
      <c r="I64" s="607"/>
      <c r="J64" s="607"/>
      <c r="K64" s="607"/>
      <c r="L64" s="607"/>
      <c r="M64" s="722"/>
      <c r="N64" s="607"/>
      <c r="O64" s="644"/>
      <c r="P64" s="607"/>
      <c r="Q64" s="610"/>
      <c r="R64" s="610"/>
      <c r="S64" s="611"/>
      <c r="T64" s="607"/>
      <c r="U64" s="607"/>
    </row>
    <row r="65" spans="1:21" ht="15" customHeight="1">
      <c r="A65" s="607"/>
      <c r="B65" s="607"/>
      <c r="C65" s="607"/>
      <c r="D65" s="607"/>
      <c r="E65" s="607"/>
      <c r="F65" s="607"/>
      <c r="G65" s="607"/>
      <c r="H65" s="607"/>
      <c r="I65" s="607"/>
      <c r="J65" s="607"/>
      <c r="K65" s="607"/>
      <c r="L65" s="607"/>
      <c r="M65" s="722"/>
      <c r="N65" s="607"/>
      <c r="O65" s="644"/>
      <c r="P65" s="607"/>
      <c r="Q65" s="610"/>
      <c r="R65" s="610"/>
      <c r="S65" s="611"/>
      <c r="T65" s="607"/>
      <c r="U65" s="607"/>
    </row>
    <row r="66" spans="1:21" ht="15" customHeight="1">
      <c r="A66" s="607"/>
      <c r="B66" s="607"/>
      <c r="C66" s="607"/>
      <c r="D66" s="607"/>
      <c r="E66" s="607"/>
      <c r="F66" s="607"/>
      <c r="G66" s="607"/>
      <c r="H66" s="607"/>
      <c r="I66" s="607"/>
      <c r="J66" s="607"/>
      <c r="K66" s="607"/>
      <c r="L66" s="607"/>
      <c r="M66" s="722"/>
      <c r="N66" s="607"/>
      <c r="O66" s="644"/>
      <c r="P66" s="607"/>
      <c r="Q66" s="610"/>
      <c r="R66" s="610"/>
      <c r="S66" s="611"/>
      <c r="T66" s="607"/>
      <c r="U66" s="607"/>
    </row>
    <row r="67" spans="1:21" ht="11.25" customHeight="1">
      <c r="A67" s="607"/>
      <c r="B67" s="607"/>
      <c r="C67" s="607"/>
      <c r="D67" s="607"/>
      <c r="E67" s="607"/>
      <c r="F67" s="607"/>
      <c r="G67" s="607"/>
      <c r="H67" s="607"/>
      <c r="I67" s="607"/>
      <c r="J67" s="607"/>
      <c r="K67" s="607"/>
      <c r="L67" s="607"/>
      <c r="M67" s="722"/>
      <c r="N67" s="607"/>
      <c r="O67" s="644"/>
      <c r="P67" s="607"/>
      <c r="Q67" s="610"/>
      <c r="R67" s="610"/>
      <c r="S67" s="611"/>
      <c r="T67" s="607"/>
      <c r="U67" s="607"/>
    </row>
    <row r="68" spans="1:21" ht="11.25" customHeight="1">
      <c r="A68" s="607"/>
      <c r="B68" s="607"/>
      <c r="C68" s="607"/>
      <c r="D68" s="607"/>
      <c r="E68" s="607"/>
      <c r="F68" s="607"/>
      <c r="G68" s="607"/>
      <c r="H68" s="607"/>
      <c r="I68" s="607"/>
      <c r="J68" s="607"/>
      <c r="K68" s="607"/>
      <c r="L68" s="607"/>
      <c r="M68" s="722"/>
      <c r="N68" s="607"/>
      <c r="O68" s="644"/>
      <c r="P68" s="607"/>
      <c r="Q68" s="610"/>
      <c r="R68" s="610"/>
      <c r="S68" s="611"/>
      <c r="T68" s="607"/>
      <c r="U68" s="607"/>
    </row>
    <row r="69" spans="1:21" ht="15">
      <c r="A69" s="607"/>
      <c r="B69" s="607"/>
      <c r="C69" s="607"/>
      <c r="D69" s="607"/>
      <c r="E69" s="607"/>
      <c r="F69" s="607"/>
      <c r="G69" s="607"/>
      <c r="H69" s="607"/>
      <c r="I69" s="607"/>
      <c r="J69" s="607"/>
      <c r="K69" s="607"/>
      <c r="L69" s="607"/>
      <c r="M69" s="722"/>
      <c r="N69" s="607"/>
      <c r="O69" s="644"/>
      <c r="P69" s="607"/>
      <c r="Q69" s="610"/>
      <c r="R69" s="610"/>
      <c r="S69" s="611"/>
      <c r="T69" s="607"/>
      <c r="U69" s="607"/>
    </row>
    <row r="70" spans="1:21" ht="11.25" customHeight="1">
      <c r="A70" s="607"/>
      <c r="B70" s="607"/>
      <c r="C70" s="607"/>
      <c r="D70" s="607"/>
      <c r="E70" s="607"/>
      <c r="F70" s="607"/>
      <c r="G70" s="607"/>
      <c r="H70" s="607"/>
      <c r="I70" s="607"/>
      <c r="J70" s="607"/>
      <c r="K70" s="607"/>
      <c r="L70" s="607"/>
      <c r="M70" s="722"/>
      <c r="N70" s="607"/>
      <c r="O70" s="644"/>
      <c r="P70" s="607"/>
      <c r="Q70" s="610"/>
      <c r="R70" s="610"/>
      <c r="S70" s="611"/>
      <c r="T70" s="607"/>
      <c r="U70" s="607"/>
    </row>
    <row r="71" spans="1:21" ht="11.25" customHeight="1">
      <c r="A71" s="607"/>
      <c r="B71" s="607"/>
      <c r="C71" s="607"/>
      <c r="D71" s="607"/>
      <c r="E71" s="607"/>
      <c r="F71" s="607"/>
      <c r="G71" s="607"/>
      <c r="H71" s="607"/>
      <c r="I71" s="607"/>
      <c r="J71" s="607"/>
      <c r="K71" s="607"/>
      <c r="L71" s="607"/>
      <c r="M71" s="722"/>
      <c r="N71" s="607"/>
      <c r="O71" s="644"/>
      <c r="P71" s="607"/>
      <c r="Q71" s="610"/>
      <c r="R71" s="610"/>
      <c r="S71" s="611"/>
      <c r="T71" s="607"/>
      <c r="U71" s="607"/>
    </row>
    <row r="72" spans="1:21" ht="11.25" customHeight="1">
      <c r="A72" s="607"/>
      <c r="B72" s="607"/>
      <c r="C72" s="607"/>
      <c r="D72" s="607"/>
      <c r="E72" s="607"/>
      <c r="F72" s="607"/>
      <c r="G72" s="607"/>
      <c r="H72" s="607"/>
      <c r="I72" s="607"/>
      <c r="J72" s="607"/>
      <c r="K72" s="607"/>
      <c r="L72" s="607"/>
      <c r="M72" s="722"/>
      <c r="N72" s="607"/>
      <c r="O72" s="644"/>
      <c r="P72" s="607"/>
      <c r="Q72" s="610"/>
      <c r="R72" s="610"/>
      <c r="S72" s="611"/>
      <c r="T72" s="607"/>
      <c r="U72" s="607"/>
    </row>
    <row r="73" spans="1:21" ht="11.25" customHeight="1">
      <c r="A73" s="607"/>
      <c r="B73" s="607"/>
      <c r="C73" s="607"/>
      <c r="D73" s="607"/>
      <c r="E73" s="607"/>
      <c r="F73" s="607"/>
      <c r="G73" s="607"/>
      <c r="H73" s="607"/>
      <c r="I73" s="607"/>
      <c r="J73" s="607"/>
      <c r="K73" s="607"/>
      <c r="L73" s="607"/>
      <c r="M73" s="722"/>
      <c r="N73" s="607"/>
      <c r="O73" s="644"/>
      <c r="P73" s="607"/>
      <c r="Q73" s="610"/>
      <c r="R73" s="610"/>
      <c r="S73" s="611"/>
      <c r="T73" s="607"/>
      <c r="U73" s="607"/>
    </row>
    <row r="74" spans="1:21" ht="11.25" customHeight="1">
      <c r="A74" s="607"/>
      <c r="B74" s="607"/>
      <c r="C74" s="607"/>
      <c r="D74" s="607"/>
      <c r="E74" s="607"/>
      <c r="F74" s="607"/>
      <c r="G74" s="607"/>
      <c r="H74" s="607"/>
      <c r="I74" s="607"/>
      <c r="J74" s="607"/>
      <c r="K74" s="607"/>
      <c r="L74" s="607"/>
      <c r="M74" s="722"/>
      <c r="N74" s="607"/>
      <c r="O74" s="644"/>
      <c r="P74" s="607"/>
      <c r="Q74" s="610"/>
      <c r="R74" s="610"/>
      <c r="S74" s="611"/>
      <c r="T74" s="607"/>
      <c r="U74" s="607"/>
    </row>
    <row r="75" spans="1:21" ht="11.25" customHeight="1">
      <c r="A75" s="607"/>
      <c r="B75" s="607"/>
      <c r="C75" s="607"/>
      <c r="D75" s="607"/>
      <c r="E75" s="607"/>
      <c r="F75" s="607"/>
      <c r="G75" s="607"/>
      <c r="H75" s="607"/>
      <c r="I75" s="607"/>
      <c r="J75" s="607"/>
      <c r="K75" s="607"/>
      <c r="L75" s="607"/>
      <c r="M75" s="722"/>
      <c r="N75" s="607"/>
      <c r="O75" s="644"/>
      <c r="P75" s="607"/>
      <c r="Q75" s="610"/>
      <c r="R75" s="610"/>
      <c r="S75" s="611"/>
      <c r="T75" s="607"/>
      <c r="U75" s="607"/>
    </row>
    <row r="76" spans="1:21" ht="11.25" customHeight="1">
      <c r="A76" s="607"/>
      <c r="B76" s="607"/>
      <c r="C76" s="607"/>
      <c r="D76" s="607"/>
      <c r="E76" s="607"/>
      <c r="F76" s="607"/>
      <c r="G76" s="607"/>
      <c r="H76" s="607"/>
      <c r="I76" s="607"/>
      <c r="J76" s="607"/>
      <c r="K76" s="607"/>
      <c r="L76" s="607"/>
      <c r="M76" s="722"/>
      <c r="N76" s="607"/>
      <c r="O76" s="644"/>
      <c r="P76" s="607"/>
      <c r="Q76" s="610"/>
      <c r="R76" s="610"/>
      <c r="S76" s="611"/>
      <c r="T76" s="607"/>
      <c r="U76" s="607"/>
    </row>
    <row r="77" spans="1:21" ht="11.25" customHeight="1">
      <c r="A77" s="607"/>
      <c r="B77" s="607"/>
      <c r="C77" s="607"/>
      <c r="D77" s="607"/>
      <c r="E77" s="607"/>
      <c r="F77" s="607"/>
      <c r="G77" s="607"/>
      <c r="H77" s="607"/>
      <c r="I77" s="607"/>
      <c r="J77" s="607"/>
      <c r="K77" s="607"/>
      <c r="L77" s="607"/>
      <c r="M77" s="722"/>
      <c r="N77" s="607"/>
      <c r="O77" s="644"/>
      <c r="P77" s="607"/>
      <c r="Q77" s="610"/>
      <c r="R77" s="610"/>
      <c r="S77" s="611"/>
      <c r="T77" s="607"/>
      <c r="U77" s="607"/>
    </row>
    <row r="78" spans="1:21" ht="11.25" customHeight="1">
      <c r="A78" s="607"/>
      <c r="B78" s="723"/>
      <c r="C78" s="607"/>
      <c r="D78" s="607"/>
      <c r="E78" s="607"/>
      <c r="F78" s="607"/>
      <c r="G78" s="607"/>
      <c r="H78" s="607"/>
      <c r="I78" s="607"/>
      <c r="J78" s="607"/>
      <c r="K78" s="607"/>
      <c r="L78" s="607"/>
      <c r="M78" s="722"/>
      <c r="N78" s="607"/>
      <c r="O78" s="644"/>
      <c r="P78" s="607"/>
      <c r="Q78" s="610"/>
      <c r="R78" s="610"/>
      <c r="S78" s="611"/>
      <c r="T78" s="607"/>
      <c r="U78" s="607"/>
    </row>
    <row r="79" spans="1:21" ht="11.25" customHeight="1">
      <c r="A79" s="607"/>
      <c r="B79" s="607"/>
      <c r="C79" s="607"/>
      <c r="D79" s="607"/>
      <c r="E79" s="607"/>
      <c r="F79" s="607"/>
      <c r="G79" s="607"/>
      <c r="H79" s="607"/>
      <c r="I79" s="607"/>
      <c r="J79" s="607"/>
      <c r="K79" s="607"/>
      <c r="L79" s="607"/>
      <c r="M79" s="722"/>
      <c r="N79" s="607"/>
      <c r="O79" s="644"/>
      <c r="P79" s="607"/>
      <c r="Q79" s="610"/>
      <c r="R79" s="610"/>
      <c r="S79" s="611"/>
      <c r="T79" s="607"/>
      <c r="U79" s="607"/>
    </row>
    <row r="80" spans="1:21" ht="11.25" customHeight="1">
      <c r="A80" s="607"/>
      <c r="B80" s="607"/>
      <c r="C80" s="607"/>
      <c r="D80" s="607"/>
      <c r="E80" s="607"/>
      <c r="F80" s="607"/>
      <c r="G80" s="607"/>
      <c r="H80" s="607"/>
      <c r="I80" s="607"/>
      <c r="J80" s="607"/>
      <c r="K80" s="607"/>
      <c r="L80" s="607"/>
      <c r="M80" s="722"/>
      <c r="N80" s="607"/>
      <c r="O80" s="644"/>
      <c r="P80" s="607"/>
      <c r="Q80" s="610"/>
      <c r="R80" s="610"/>
      <c r="S80" s="611"/>
      <c r="T80" s="607"/>
      <c r="U80" s="607"/>
    </row>
    <row r="81" spans="1:21" ht="11.25" customHeight="1">
      <c r="A81" s="607"/>
      <c r="B81" s="607"/>
      <c r="C81" s="607"/>
      <c r="D81" s="607"/>
      <c r="E81" s="607"/>
      <c r="F81" s="607"/>
      <c r="G81" s="607"/>
      <c r="H81" s="607"/>
      <c r="I81" s="607"/>
      <c r="J81" s="607"/>
      <c r="K81" s="607"/>
      <c r="L81" s="607"/>
      <c r="M81" s="722"/>
      <c r="N81" s="607"/>
      <c r="O81" s="644"/>
      <c r="P81" s="607"/>
      <c r="Q81" s="610"/>
      <c r="R81" s="610"/>
      <c r="S81" s="611"/>
      <c r="T81" s="607"/>
      <c r="U81" s="607"/>
    </row>
    <row r="82" spans="1:21" ht="11.25" customHeight="1">
      <c r="A82" s="607"/>
      <c r="B82" s="607"/>
      <c r="C82" s="725" t="s">
        <v>651</v>
      </c>
      <c r="D82" s="607"/>
      <c r="E82" s="607"/>
      <c r="F82" s="607"/>
      <c r="G82" s="607"/>
      <c r="H82" s="607"/>
      <c r="I82" s="607"/>
      <c r="J82" s="607"/>
      <c r="K82" s="607"/>
      <c r="L82" s="607"/>
      <c r="M82" s="722"/>
      <c r="N82" s="607"/>
      <c r="O82" s="644"/>
      <c r="P82" s="607"/>
      <c r="Q82" s="610"/>
      <c r="R82" s="610"/>
      <c r="S82" s="611"/>
      <c r="T82" s="607"/>
      <c r="U82" s="607"/>
    </row>
    <row r="83" spans="1:21" ht="11.25" customHeight="1">
      <c r="A83" s="607"/>
      <c r="B83" s="607"/>
      <c r="C83" s="607"/>
      <c r="D83" s="607"/>
      <c r="E83" s="607"/>
      <c r="F83" s="607"/>
      <c r="G83" s="607"/>
      <c r="H83" s="607"/>
      <c r="I83" s="607"/>
      <c r="J83" s="607"/>
      <c r="K83" s="607"/>
      <c r="L83" s="607"/>
      <c r="M83" s="722"/>
      <c r="N83" s="607"/>
      <c r="O83" s="644"/>
      <c r="P83" s="607"/>
      <c r="Q83" s="610"/>
      <c r="R83" s="610"/>
      <c r="S83" s="611"/>
      <c r="T83" s="607"/>
      <c r="U83" s="607"/>
    </row>
    <row r="84" spans="1:21" ht="11.25" hidden="1" customHeight="1">
      <c r="P84" s="607"/>
      <c r="Q84" s="610"/>
      <c r="R84" s="610"/>
      <c r="S84" s="611"/>
      <c r="T84" s="607"/>
      <c r="U84" s="607"/>
    </row>
    <row r="85" spans="1:21" ht="11.25" hidden="1" customHeight="1">
      <c r="P85" s="607"/>
      <c r="Q85" s="610"/>
      <c r="R85" s="610"/>
      <c r="S85" s="611"/>
      <c r="T85" s="607"/>
      <c r="U85" s="607"/>
    </row>
    <row r="86" spans="1:21" ht="11.25" hidden="1" customHeight="1"/>
  </sheetData>
  <sheetProtection algorithmName="SHA-512" hashValue="sbakP7oxxgmy8SQnqQc6M7JSEZ5Umnf+hijF0lnDXMBBWYcrinKacq6rOLqrKIRiGHgfdAgXsMtKtHZBaD6qIw==" saltValue="WR3a77l/eLz6yAyB0WXYAw==" spinCount="100000" sheet="1" objects="1" scenarios="1" selectLockedCells="1"/>
  <mergeCells count="32">
    <mergeCell ref="C2:G3"/>
    <mergeCell ref="T14:U14"/>
    <mergeCell ref="T16:U16"/>
    <mergeCell ref="S43:S44"/>
    <mergeCell ref="N9:O9"/>
    <mergeCell ref="N11:O11"/>
    <mergeCell ref="N12:O12"/>
    <mergeCell ref="R23:T23"/>
    <mergeCell ref="R24:T24"/>
    <mergeCell ref="R25:T25"/>
    <mergeCell ref="N6:O6"/>
    <mergeCell ref="N7:O7"/>
    <mergeCell ref="N8:O8"/>
    <mergeCell ref="T12:U12"/>
    <mergeCell ref="H5:I5"/>
    <mergeCell ref="N10:O10"/>
    <mergeCell ref="P5:U6"/>
    <mergeCell ref="S7:U7"/>
    <mergeCell ref="S8:U8"/>
    <mergeCell ref="T11:U11"/>
    <mergeCell ref="I6:J7"/>
    <mergeCell ref="K9:L9"/>
    <mergeCell ref="H16:M16"/>
    <mergeCell ref="K10:K11"/>
    <mergeCell ref="H17:M17"/>
    <mergeCell ref="C13:F15"/>
    <mergeCell ref="B59:C59"/>
    <mergeCell ref="G27:H27"/>
    <mergeCell ref="E27:F27"/>
    <mergeCell ref="K27:L27"/>
    <mergeCell ref="K38:L38"/>
    <mergeCell ref="K59:L59"/>
  </mergeCells>
  <conditionalFormatting sqref="E27:E28">
    <cfRule type="expression" dxfId="4" priority="1">
      <formula>$E$27&lt;NOW()</formula>
    </cfRule>
  </conditionalFormatting>
  <dataValidations count="7">
    <dataValidation allowBlank="1" promptTitle="Forslag" prompt="Ca. 4% tørret surdej._x000a_F.eks. Grand Farine Levain eller Caputo Criscito._x000a_" sqref="I9" xr:uid="{61B36108-869F-4A8D-BE18-9CEE4453785E}"/>
    <dataValidation allowBlank="1" showInputMessage="1" showErrorMessage="1" promptTitle="Anbefaling" prompt="24-27°_x000a_Dejtemperaturen har meget stor betydning for det endelieg resultat." sqref="S39" xr:uid="{7BD70E31-3260-43A3-826D-1B3B24DCAFD4}"/>
    <dataValidation allowBlank="1" sqref="I11:J11 B11 I9" xr:uid="{C84C805C-E1C9-4541-B35F-C86434A56FEB}"/>
    <dataValidation allowBlank="1" showInputMessage="1" promptTitle="Forslag" prompt="Ca. 4% tørret surdej._x000a_F.eks. Grand Farine Levain eller Caputo Criscito._x000a_" sqref="I11" xr:uid="{D28370DC-7B13-4EDD-8E0A-2692791F9B2E}"/>
    <dataValidation type="list" allowBlank="1" sqref="R8" xr:uid="{D5EF9586-3694-48DB-AA92-C046A996DE04}">
      <formula1>"11:30,12:00,12:30,13:00,17:00,17:30,18:00,18:30,19:00,19:30"</formula1>
    </dataValidation>
    <dataValidation type="list" allowBlank="1" sqref="J9" xr:uid="{BD10EFF4-B7BD-4019-A584-36458AB3FAC7}">
      <formula1>$Z$7:$Z$9</formula1>
    </dataValidation>
    <dataValidation type="list" allowBlank="1" showErrorMessage="1" sqref="R7" xr:uid="{0F803EDB-3947-4957-8A00-46347434B905}">
      <formula1>"Mandag,Tirsdag,Onsdag,Torsdag,Fredag,Lørdag,Søndag"</formula1>
    </dataValidation>
  </dataValidations>
  <pageMargins left="0.19685039370078741" right="0.19685039370078741" top="0.74803149606299213" bottom="0.74803149606299213" header="0.31496062992125984" footer="0.31496062992125984"/>
  <pageSetup paperSize="9" scale="75"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9978-99CC-4AD4-9F44-BDA16D23867F}">
  <sheetPr codeName="Ark24">
    <tabColor theme="0"/>
    <pageSetUpPr fitToPage="1"/>
  </sheetPr>
  <dimension ref="A1:XEQ78"/>
  <sheetViews>
    <sheetView showGridLines="0" showRowColHeaders="0" zoomScaleNormal="100" workbookViewId="0">
      <pane ySplit="4" topLeftCell="A5" activePane="bottomLeft" state="frozen"/>
      <selection activeCell="H8" sqref="H8"/>
      <selection pane="bottomLeft" activeCell="F7" sqref="F7"/>
    </sheetView>
  </sheetViews>
  <sheetFormatPr defaultColWidth="0" defaultRowHeight="15" zeroHeight="1"/>
  <cols>
    <col min="1" max="1" width="2.42578125" customWidth="1"/>
    <col min="2" max="2" width="6" customWidth="1"/>
    <col min="3" max="3" width="8" customWidth="1"/>
    <col min="4" max="4" width="22" customWidth="1"/>
    <col min="5" max="5" width="13.7109375" customWidth="1"/>
    <col min="6" max="6" width="8" customWidth="1"/>
    <col min="7" max="7" width="8.85546875" customWidth="1"/>
    <col min="8" max="8" width="2.7109375" customWidth="1"/>
    <col min="9" max="9" width="7.140625" customWidth="1"/>
    <col min="10" max="10" width="15.85546875" customWidth="1"/>
    <col min="11" max="11" width="4.28515625" customWidth="1"/>
    <col min="12" max="12" width="8.28515625" customWidth="1"/>
    <col min="13" max="13" width="27.42578125" style="1" customWidth="1"/>
    <col min="14" max="14" width="3.28515625" customWidth="1"/>
    <col min="15" max="15" width="4.28515625" customWidth="1"/>
    <col min="16" max="16" width="6.28515625" customWidth="1"/>
    <col min="17" max="17" width="8" style="147" customWidth="1"/>
    <col min="18" max="18" width="17.85546875" style="147" customWidth="1"/>
    <col min="19" max="19" width="8.140625" style="18" customWidth="1"/>
    <col min="20" max="20" width="8" customWidth="1"/>
    <col min="21" max="21" width="3.5703125" customWidth="1"/>
    <col min="22" max="22" width="9.5703125" hidden="1"/>
    <col min="23" max="23" width="15.5703125" hidden="1"/>
    <col min="24" max="24" width="10.28515625" hidden="1"/>
    <col min="25" max="25" width="9.140625" hidden="1"/>
    <col min="26" max="26" width="12.42578125" hidden="1"/>
    <col min="27" max="27" width="12.7109375" hidden="1"/>
    <col min="28" max="16370" width="8.85546875" hidden="1"/>
    <col min="16372" max="16384" width="8.85546875" hidden="1"/>
  </cols>
  <sheetData>
    <row r="1" spans="1:28" ht="15" customHeight="1">
      <c r="A1" s="660"/>
      <c r="B1" s="660"/>
      <c r="C1" s="660"/>
      <c r="D1" s="667"/>
      <c r="E1" s="661"/>
      <c r="F1" s="661"/>
      <c r="G1" s="661"/>
      <c r="H1" s="661"/>
      <c r="I1" s="661"/>
      <c r="J1" s="661"/>
      <c r="K1" s="660"/>
      <c r="L1" s="660"/>
      <c r="M1" s="668"/>
      <c r="N1" s="669"/>
      <c r="O1" s="669"/>
      <c r="P1" s="669"/>
      <c r="Q1" s="670"/>
      <c r="R1" s="670"/>
      <c r="S1" s="87"/>
      <c r="T1" s="5"/>
      <c r="U1" s="5"/>
    </row>
    <row r="2" spans="1:28" ht="15" customHeight="1">
      <c r="A2" s="660"/>
      <c r="B2" s="660"/>
      <c r="C2" s="660"/>
      <c r="D2" s="2046" t="s">
        <v>1044</v>
      </c>
      <c r="E2" s="2046"/>
      <c r="F2" s="2046"/>
      <c r="G2" s="2046"/>
      <c r="H2" s="2046"/>
      <c r="I2" s="2046"/>
      <c r="J2" s="2046"/>
      <c r="K2" s="660"/>
      <c r="L2" s="660"/>
      <c r="M2" s="668"/>
      <c r="N2" s="669"/>
      <c r="O2" s="669"/>
      <c r="P2" s="669"/>
      <c r="Q2" s="669"/>
      <c r="R2" s="5"/>
      <c r="S2" s="87"/>
      <c r="T2" s="5"/>
      <c r="U2" s="5"/>
    </row>
    <row r="3" spans="1:28" ht="15" customHeight="1">
      <c r="A3" s="660"/>
      <c r="B3" s="660"/>
      <c r="C3" s="660"/>
      <c r="D3" s="2046"/>
      <c r="E3" s="2046"/>
      <c r="F3" s="2046"/>
      <c r="G3" s="2046"/>
      <c r="H3" s="2046"/>
      <c r="I3" s="2046"/>
      <c r="J3" s="2046"/>
      <c r="K3" s="660"/>
      <c r="L3" s="671"/>
      <c r="M3" s="668"/>
      <c r="N3" s="669"/>
      <c r="O3" s="669"/>
      <c r="P3" s="669"/>
      <c r="Q3" s="669"/>
      <c r="R3" s="5"/>
      <c r="S3" s="87"/>
      <c r="T3" s="5"/>
      <c r="U3" s="5"/>
    </row>
    <row r="4" spans="1:28" ht="15" customHeight="1" thickBot="1">
      <c r="A4" s="663"/>
      <c r="B4" s="663"/>
      <c r="C4" s="663"/>
      <c r="D4" s="664" t="s">
        <v>381</v>
      </c>
      <c r="E4" s="665"/>
      <c r="F4" s="665"/>
      <c r="G4" s="665"/>
      <c r="H4" s="665"/>
      <c r="I4" s="665"/>
      <c r="J4" s="665"/>
      <c r="K4" s="663"/>
      <c r="L4" s="663"/>
      <c r="M4" s="672"/>
      <c r="N4" s="673"/>
      <c r="O4" s="673"/>
      <c r="P4" s="673"/>
      <c r="Q4" s="673"/>
      <c r="R4" s="657"/>
      <c r="S4" s="657"/>
      <c r="T4" s="657"/>
      <c r="U4" s="657"/>
    </row>
    <row r="5" spans="1:28" ht="16.5" customHeight="1" thickTop="1" thickBot="1">
      <c r="A5" s="607"/>
      <c r="B5" s="608"/>
      <c r="C5" s="608"/>
      <c r="D5" s="729"/>
      <c r="E5" s="732"/>
      <c r="F5" s="733"/>
      <c r="G5" s="734"/>
      <c r="H5" s="2005"/>
      <c r="I5" s="2005"/>
      <c r="J5" s="608"/>
      <c r="K5" s="608"/>
      <c r="L5" s="735"/>
      <c r="M5" s="736"/>
      <c r="N5" s="608"/>
      <c r="O5" s="644"/>
      <c r="P5" s="1993" t="s">
        <v>1075</v>
      </c>
      <c r="Q5" s="1994"/>
      <c r="R5" s="1994"/>
      <c r="S5" s="1994"/>
      <c r="T5" s="1994"/>
      <c r="U5" s="1994"/>
    </row>
    <row r="6" spans="1:28" s="155" customFormat="1" ht="17.25" customHeight="1" thickTop="1" thickBot="1">
      <c r="A6" s="737"/>
      <c r="B6" s="730"/>
      <c r="C6" s="740" t="s">
        <v>378</v>
      </c>
      <c r="D6" s="741"/>
      <c r="E6" s="726"/>
      <c r="F6" s="749"/>
      <c r="G6" s="843"/>
      <c r="H6" s="607"/>
      <c r="I6" s="2039" t="s">
        <v>745</v>
      </c>
      <c r="J6" s="2039"/>
      <c r="K6" s="608"/>
      <c r="L6" s="1559"/>
      <c r="M6" s="1554"/>
      <c r="N6" s="2041"/>
      <c r="O6" s="2043"/>
      <c r="P6" s="1995"/>
      <c r="Q6" s="1996"/>
      <c r="R6" s="1996"/>
      <c r="S6" s="1996"/>
      <c r="T6" s="1996"/>
      <c r="U6" s="1996"/>
      <c r="W6" s="351" t="s">
        <v>418</v>
      </c>
      <c r="X6" s="281"/>
      <c r="Z6" s="43" t="s">
        <v>299</v>
      </c>
      <c r="AA6" s="53" t="s">
        <v>809</v>
      </c>
      <c r="AB6" s="911" t="s">
        <v>756</v>
      </c>
    </row>
    <row r="7" spans="1:28" s="155" customFormat="1" ht="16.5" thickTop="1">
      <c r="A7" s="737"/>
      <c r="B7" s="730"/>
      <c r="C7" s="742">
        <v>1</v>
      </c>
      <c r="D7" s="743" t="s">
        <v>374</v>
      </c>
      <c r="E7" s="844" t="s">
        <v>372</v>
      </c>
      <c r="F7" s="347">
        <v>6</v>
      </c>
      <c r="G7" s="728" t="s">
        <v>386</v>
      </c>
      <c r="H7" s="607"/>
      <c r="I7" s="2039"/>
      <c r="J7" s="2039"/>
      <c r="K7" s="1558"/>
      <c r="L7" s="1559"/>
      <c r="M7" s="1554"/>
      <c r="N7" s="2041"/>
      <c r="O7" s="2043"/>
      <c r="P7" s="643"/>
      <c r="Q7" s="623" t="s">
        <v>1289</v>
      </c>
      <c r="R7" s="1845" t="s">
        <v>1290</v>
      </c>
      <c r="S7" s="1998"/>
      <c r="T7" s="1998"/>
      <c r="U7" s="1998"/>
      <c r="W7" s="284">
        <v>1</v>
      </c>
      <c r="X7" s="285" t="s">
        <v>649</v>
      </c>
      <c r="Z7" s="44" t="s">
        <v>376</v>
      </c>
      <c r="AA7" s="45" t="s">
        <v>376</v>
      </c>
      <c r="AB7" s="912">
        <v>1</v>
      </c>
    </row>
    <row r="8" spans="1:28" ht="16.5" thickBot="1">
      <c r="A8" s="607"/>
      <c r="B8" s="730"/>
      <c r="C8" s="744">
        <v>0.62863534675615218</v>
      </c>
      <c r="D8" s="743" t="s">
        <v>1026</v>
      </c>
      <c r="E8" s="844" t="s">
        <v>373</v>
      </c>
      <c r="F8" s="348">
        <v>270</v>
      </c>
      <c r="G8" s="728" t="s">
        <v>369</v>
      </c>
      <c r="H8" s="607"/>
      <c r="I8" s="332"/>
      <c r="J8" s="619" t="s">
        <v>377</v>
      </c>
      <c r="K8" s="1558"/>
      <c r="L8" s="1559"/>
      <c r="M8" s="1554"/>
      <c r="N8" s="2041"/>
      <c r="O8" s="2043"/>
      <c r="P8" s="643"/>
      <c r="Q8" s="623" t="s">
        <v>1060</v>
      </c>
      <c r="R8" s="1621">
        <v>0.72916666666666663</v>
      </c>
      <c r="S8" s="1998" t="s">
        <v>644</v>
      </c>
      <c r="T8" s="1998"/>
      <c r="U8" s="1998"/>
      <c r="W8" s="284">
        <f>IF(I8="",C8,I8)</f>
        <v>0.62863534675615218</v>
      </c>
      <c r="X8" s="286" t="s">
        <v>419</v>
      </c>
      <c r="Z8" s="44" t="s">
        <v>807</v>
      </c>
      <c r="AA8" s="45" t="s">
        <v>385</v>
      </c>
      <c r="AB8" s="913">
        <v>4</v>
      </c>
    </row>
    <row r="9" spans="1:28" ht="16.5" thickTop="1">
      <c r="A9" s="607"/>
      <c r="B9" s="731"/>
      <c r="C9" s="745">
        <v>2.6845637583892617E-2</v>
      </c>
      <c r="D9" s="746" t="s">
        <v>375</v>
      </c>
      <c r="E9" s="726"/>
      <c r="F9" s="749"/>
      <c r="G9" s="843"/>
      <c r="H9" s="607"/>
      <c r="I9" s="842"/>
      <c r="J9" s="870" t="s">
        <v>376</v>
      </c>
      <c r="K9" s="2044">
        <f>IF(J11&lt;&gt;"tørgær",W9,IF(I11="",C10,""))</f>
        <v>7.8299776286353462E-4</v>
      </c>
      <c r="L9" s="2044"/>
      <c r="M9" s="1554"/>
      <c r="N9" s="2041"/>
      <c r="O9" s="2043"/>
      <c r="P9" s="643"/>
      <c r="Q9" s="620"/>
      <c r="R9" s="1807">
        <f ca="1">TODAY()+MOD(MATCH(R7,{"Mandag";"Tirsdag";"Onsdag";"Torsdag";"Fredag";"Lørdag";"Søndag"},0)-WEEKDAY(TODAY(),2)+7,7)</f>
        <v>45926</v>
      </c>
      <c r="S9" s="868"/>
      <c r="T9" s="675"/>
      <c r="U9" s="614"/>
      <c r="W9" s="284">
        <f>IF(J9="frisk gær",IF(I9="",C10,I9),IF(I9="",C10,I9)/AB11)</f>
        <v>7.8299776286353462E-4</v>
      </c>
      <c r="X9" s="285" t="str">
        <f>AA11</f>
        <v>frisk gær</v>
      </c>
      <c r="Z9" s="44" t="s">
        <v>806</v>
      </c>
      <c r="AA9" s="45" t="s">
        <v>385</v>
      </c>
      <c r="AB9" s="913">
        <v>3</v>
      </c>
    </row>
    <row r="10" spans="1:28" ht="15.75">
      <c r="A10" s="607"/>
      <c r="B10" s="608"/>
      <c r="C10" s="745">
        <v>7.8299776286353462E-4</v>
      </c>
      <c r="D10" s="746" t="s">
        <v>376</v>
      </c>
      <c r="E10" s="679" t="s">
        <v>382</v>
      </c>
      <c r="F10" s="1672">
        <f>F7*F8</f>
        <v>1620</v>
      </c>
      <c r="G10" s="836" t="s">
        <v>369</v>
      </c>
      <c r="H10" s="607"/>
      <c r="I10" s="333"/>
      <c r="J10" s="619" t="s">
        <v>375</v>
      </c>
      <c r="K10" s="1558"/>
      <c r="L10" s="1559"/>
      <c r="M10" s="1554"/>
      <c r="N10" s="2041"/>
      <c r="O10" s="2043"/>
      <c r="P10" s="643"/>
      <c r="Q10" s="620"/>
      <c r="R10" s="614"/>
      <c r="S10" s="868"/>
      <c r="T10" s="675"/>
      <c r="U10" s="614"/>
      <c r="V10" s="482"/>
      <c r="W10" s="480">
        <f>IF(I10="",C9,I10)</f>
        <v>2.6845637583892617E-2</v>
      </c>
      <c r="X10" s="481" t="s">
        <v>375</v>
      </c>
      <c r="Z10" s="44" t="s">
        <v>805</v>
      </c>
      <c r="AA10" s="45" t="s">
        <v>808</v>
      </c>
      <c r="AB10" s="914">
        <v>3</v>
      </c>
    </row>
    <row r="11" spans="1:28" ht="16.5" thickBot="1">
      <c r="A11" s="607"/>
      <c r="B11" s="608"/>
      <c r="C11" s="747">
        <v>1</v>
      </c>
      <c r="D11" s="748" t="s">
        <v>653</v>
      </c>
      <c r="E11" s="726"/>
      <c r="F11" s="749"/>
      <c r="G11" s="843"/>
      <c r="H11" s="727"/>
      <c r="I11" s="749"/>
      <c r="J11" s="749"/>
      <c r="K11" s="1558"/>
      <c r="L11" s="1559"/>
      <c r="M11" s="1554"/>
      <c r="N11" s="2041"/>
      <c r="O11" s="2043"/>
      <c r="P11" s="643"/>
      <c r="Q11" s="1546" t="s">
        <v>1089</v>
      </c>
      <c r="R11" s="1547"/>
      <c r="S11" s="1636">
        <v>1.0416666666666666E-2</v>
      </c>
      <c r="T11" s="1990" t="s">
        <v>644</v>
      </c>
      <c r="U11" s="1990"/>
      <c r="W11" s="287"/>
      <c r="X11" s="288"/>
      <c r="Z11" s="909" t="s">
        <v>764</v>
      </c>
      <c r="AA11" s="910" t="str">
        <f>VLOOKUP(J9,Z7:AA10,2,FALSE)</f>
        <v>frisk gær</v>
      </c>
      <c r="AB11" s="921">
        <f>VLOOKUP(J9,Z7:AB10,3,FALSE)</f>
        <v>1</v>
      </c>
    </row>
    <row r="12" spans="1:28" ht="16.5" customHeight="1">
      <c r="A12" s="607"/>
      <c r="B12" s="607"/>
      <c r="C12" s="815"/>
      <c r="D12" s="816"/>
      <c r="E12" s="817"/>
      <c r="F12" s="620"/>
      <c r="G12" s="607"/>
      <c r="H12" s="841"/>
      <c r="I12" s="841"/>
      <c r="J12" s="841"/>
      <c r="K12" s="841"/>
      <c r="L12" s="839"/>
      <c r="M12" s="623"/>
      <c r="N12" s="2003"/>
      <c r="O12" s="2004"/>
      <c r="P12" s="643"/>
      <c r="Q12" s="623" t="s">
        <v>1064</v>
      </c>
      <c r="R12" s="1544"/>
      <c r="S12" s="1613">
        <v>1</v>
      </c>
      <c r="T12" s="1990" t="s">
        <v>644</v>
      </c>
      <c r="U12" s="1990"/>
      <c r="W12" s="1"/>
    </row>
    <row r="13" spans="1:28" ht="16.5" customHeight="1">
      <c r="A13" s="607"/>
      <c r="B13" s="1046"/>
      <c r="C13" s="1954" t="str">
        <f>D2</f>
        <v>Bagerkokkens biga v2</v>
      </c>
      <c r="D13" s="1954"/>
      <c r="E13" s="1954"/>
      <c r="F13" s="1954"/>
      <c r="G13" s="1047"/>
      <c r="H13" s="1047"/>
      <c r="I13" s="1047"/>
      <c r="J13" s="1047"/>
      <c r="K13" s="9"/>
      <c r="L13" s="9"/>
      <c r="M13" s="25"/>
      <c r="N13" s="10"/>
      <c r="O13" s="1276"/>
      <c r="P13" s="643"/>
      <c r="Q13" s="610"/>
      <c r="R13" s="610"/>
      <c r="S13" s="611"/>
      <c r="T13" s="607"/>
      <c r="U13" s="607"/>
    </row>
    <row r="14" spans="1:28" ht="16.5" customHeight="1">
      <c r="A14" s="607"/>
      <c r="B14" s="1048"/>
      <c r="C14" s="1887"/>
      <c r="D14" s="1887"/>
      <c r="E14" s="1887"/>
      <c r="F14" s="1887"/>
      <c r="G14" s="1049"/>
      <c r="N14" s="6"/>
      <c r="O14" s="1277"/>
      <c r="P14" s="643"/>
      <c r="Q14" s="1546" t="s">
        <v>1090</v>
      </c>
      <c r="R14" s="1547"/>
      <c r="S14" s="1644">
        <v>2.7777777777777776E-2</v>
      </c>
      <c r="T14" s="1990" t="s">
        <v>644</v>
      </c>
      <c r="U14" s="1990"/>
    </row>
    <row r="15" spans="1:28" ht="16.5" customHeight="1">
      <c r="A15" s="607"/>
      <c r="B15" s="7"/>
      <c r="C15" s="1887"/>
      <c r="D15" s="1887"/>
      <c r="E15" s="1887"/>
      <c r="F15" s="1887"/>
      <c r="G15" s="5"/>
      <c r="H15" s="5"/>
      <c r="I15" s="5"/>
      <c r="J15" s="5"/>
      <c r="K15" s="5"/>
      <c r="L15" s="5"/>
      <c r="M15" s="11"/>
      <c r="N15" s="6"/>
      <c r="O15" s="644"/>
      <c r="P15" s="643"/>
      <c r="Q15" s="623" t="s">
        <v>1065</v>
      </c>
      <c r="R15" s="1544"/>
      <c r="S15" s="1561">
        <v>1.7361111111111112E-2</v>
      </c>
      <c r="T15" s="813" t="s">
        <v>644</v>
      </c>
      <c r="U15" s="813"/>
    </row>
    <row r="16" spans="1:28" ht="15.75" customHeight="1">
      <c r="A16" s="607"/>
      <c r="B16" s="1400" t="s">
        <v>746</v>
      </c>
      <c r="C16" s="5" t="str">
        <f>IF(AA11="tørgær","Tørgæren former sig bedst i bigaen når vandet er 25-27°.","Frisk gær kan opløses i koldt eller lunkent vand.")</f>
        <v>Frisk gær kan opløses i koldt eller lunkent vand.</v>
      </c>
      <c r="E16" s="5"/>
      <c r="F16" s="5"/>
      <c r="G16" s="6"/>
      <c r="H16" s="1901" t="s">
        <v>1043</v>
      </c>
      <c r="I16" s="1902"/>
      <c r="J16" s="1902"/>
      <c r="K16" s="1902"/>
      <c r="L16" s="1902"/>
      <c r="M16" s="1903"/>
      <c r="N16" s="1051"/>
      <c r="O16" s="644"/>
      <c r="P16" s="643"/>
      <c r="Q16" s="623" t="s">
        <v>1066</v>
      </c>
      <c r="R16" s="1544"/>
      <c r="S16" s="1613">
        <v>1.875</v>
      </c>
      <c r="T16" s="813" t="s">
        <v>644</v>
      </c>
      <c r="U16" s="813"/>
    </row>
    <row r="17" spans="1:23" ht="15" customHeight="1">
      <c r="A17" s="607"/>
      <c r="B17" s="1400" t="s">
        <v>746</v>
      </c>
      <c r="C17" s="5" t="s">
        <v>1101</v>
      </c>
      <c r="E17" s="5"/>
      <c r="F17" s="5"/>
      <c r="G17" s="6"/>
      <c r="H17" s="1898" t="str">
        <f>F7&amp;" pizzaer a "&amp;ROUND(F8,0)&amp;" g.  -   "&amp;ROUND(W8*100,0)&amp;"% hydrering"</f>
        <v>6 pizzaer a 270 g.  -   63% hydrering</v>
      </c>
      <c r="I17" s="1899"/>
      <c r="J17" s="1899"/>
      <c r="K17" s="1899"/>
      <c r="L17" s="1899"/>
      <c r="M17" s="1900"/>
      <c r="N17" s="1051"/>
      <c r="O17" s="644"/>
      <c r="P17" s="643"/>
      <c r="Q17" s="610"/>
      <c r="R17" s="610"/>
      <c r="S17" s="611"/>
      <c r="T17" s="607"/>
      <c r="U17" s="607"/>
    </row>
    <row r="18" spans="1:23" ht="15.75" customHeight="1">
      <c r="A18" s="607"/>
      <c r="B18" s="1400" t="s">
        <v>746</v>
      </c>
      <c r="C18" s="5" t="s">
        <v>838</v>
      </c>
      <c r="E18" s="5"/>
      <c r="F18" s="5"/>
      <c r="G18" s="6"/>
      <c r="H18" s="44"/>
      <c r="M18" s="1401"/>
      <c r="N18" s="1051"/>
      <c r="O18" s="644"/>
      <c r="P18" s="643"/>
      <c r="Q18" s="1546" t="str">
        <f ca="1">"Dag "&amp;IF(R9="","?",_xlfn.DAYS(R25,R23)+1)</f>
        <v>Dag 4</v>
      </c>
      <c r="R18" s="1547"/>
      <c r="S18" s="1547"/>
      <c r="T18" s="813"/>
      <c r="U18" s="813"/>
    </row>
    <row r="19" spans="1:23" ht="15.75">
      <c r="A19" s="607"/>
      <c r="B19" s="1400" t="s">
        <v>746</v>
      </c>
      <c r="C19" s="5" t="s">
        <v>831</v>
      </c>
      <c r="E19" s="5"/>
      <c r="F19" s="5"/>
      <c r="G19" s="6"/>
      <c r="H19" s="7"/>
      <c r="I19" s="1402" t="s">
        <v>648</v>
      </c>
      <c r="J19" s="1402"/>
      <c r="K19" s="1050"/>
      <c r="L19" s="1409" t="s">
        <v>201</v>
      </c>
      <c r="M19" s="1403"/>
      <c r="N19" s="1051"/>
      <c r="O19" s="644"/>
      <c r="P19" s="643"/>
      <c r="Q19" s="623" t="s">
        <v>1097</v>
      </c>
      <c r="R19" s="620"/>
      <c r="S19" s="1613">
        <v>0</v>
      </c>
      <c r="T19" s="813" t="s">
        <v>644</v>
      </c>
      <c r="U19" s="813"/>
    </row>
    <row r="20" spans="1:23" ht="15.75">
      <c r="A20" s="607"/>
      <c r="B20" s="1400" t="s">
        <v>746</v>
      </c>
      <c r="C20" s="851" t="s">
        <v>758</v>
      </c>
      <c r="E20" s="5"/>
      <c r="F20" s="5"/>
      <c r="G20" s="6"/>
      <c r="H20" s="7"/>
      <c r="I20" s="1596">
        <f>(F10/SUM(W7:W10))*W7</f>
        <v>978.10495036131556</v>
      </c>
      <c r="J20" s="292" t="s">
        <v>12</v>
      </c>
      <c r="K20" s="303"/>
      <c r="L20" s="1418">
        <f>F10*(W8/SUM(W7:W10))-I21</f>
        <v>125.81886945363681</v>
      </c>
      <c r="M20" s="1406" t="s">
        <v>828</v>
      </c>
      <c r="N20" s="1051"/>
      <c r="O20" s="644"/>
      <c r="P20" s="643"/>
      <c r="Q20" s="610"/>
      <c r="R20" s="610"/>
      <c r="S20" s="611"/>
      <c r="T20" s="607"/>
      <c r="U20" s="607"/>
    </row>
    <row r="21" spans="1:23" ht="16.5" thickBot="1">
      <c r="A21" s="607"/>
      <c r="B21" s="7"/>
      <c r="E21" s="5"/>
      <c r="F21" s="5"/>
      <c r="G21" s="6"/>
      <c r="H21" s="7"/>
      <c r="I21" s="1596">
        <f>I20*0.5</f>
        <v>489.05247518065778</v>
      </c>
      <c r="J21" s="292" t="str">
        <f>IF(AA11="tørgær","g vand (27°)","g vand (kold)")</f>
        <v>g vand (kold)</v>
      </c>
      <c r="K21" s="303"/>
      <c r="L21" s="1418">
        <f>F10*(W10/SUM(W7:W10))</f>
        <v>26.257851016411156</v>
      </c>
      <c r="M21" s="1406" t="s">
        <v>29</v>
      </c>
      <c r="N21" s="1051"/>
      <c r="O21" s="644"/>
      <c r="P21" s="643"/>
      <c r="Q21" s="1569" t="s">
        <v>1073</v>
      </c>
      <c r="R21" s="1570"/>
      <c r="S21" s="1568">
        <f>SUM(S11:S19)</f>
        <v>2.9305555555555554</v>
      </c>
      <c r="T21" s="1571" t="s">
        <v>644</v>
      </c>
      <c r="U21" s="1548"/>
    </row>
    <row r="22" spans="1:23" ht="15.75">
      <c r="A22" s="607"/>
      <c r="B22" s="1400" t="s">
        <v>746</v>
      </c>
      <c r="C22" s="5" t="s">
        <v>1283</v>
      </c>
      <c r="D22" s="5"/>
      <c r="E22" s="5"/>
      <c r="F22" s="5"/>
      <c r="G22" s="6"/>
      <c r="H22" s="7"/>
      <c r="I22" s="1407">
        <f>I20*W9</f>
        <v>0.76585398797865867</v>
      </c>
      <c r="J22" s="292" t="str">
        <f>"g "&amp;AA11</f>
        <v>g frisk gær</v>
      </c>
      <c r="K22" s="303"/>
      <c r="L22" s="1418">
        <f>SUM(I20:I22)</f>
        <v>1467.923279529952</v>
      </c>
      <c r="M22" s="1406" t="s">
        <v>652</v>
      </c>
      <c r="N22" s="1051"/>
      <c r="O22" s="644"/>
      <c r="P22" s="643"/>
      <c r="Q22" s="614"/>
      <c r="R22" s="1543"/>
      <c r="S22" s="1543"/>
      <c r="T22" s="1541"/>
      <c r="U22" s="1541"/>
    </row>
    <row r="23" spans="1:23" ht="15.75">
      <c r="A23" s="607"/>
      <c r="B23" s="7"/>
      <c r="C23" s="5" t="s">
        <v>1284</v>
      </c>
      <c r="D23" s="5"/>
      <c r="E23" s="5"/>
      <c r="F23" s="5"/>
      <c r="G23" s="6"/>
      <c r="H23" s="2"/>
      <c r="I23" s="833"/>
      <c r="J23" s="528"/>
      <c r="K23" s="528"/>
      <c r="L23" s="528"/>
      <c r="M23" s="1408"/>
      <c r="N23" s="1051"/>
      <c r="O23" s="644"/>
      <c r="P23" s="607"/>
      <c r="Q23" s="1551" t="s">
        <v>0</v>
      </c>
      <c r="R23" s="1922">
        <f ca="1">IF(R9="","?",R9-S21+R8)</f>
        <v>45923.798611111109</v>
      </c>
      <c r="S23" s="1922"/>
      <c r="T23" s="1922"/>
      <c r="U23" s="607"/>
    </row>
    <row r="24" spans="1:23" ht="15.75">
      <c r="A24" s="607"/>
      <c r="B24" s="7"/>
      <c r="C24" s="5"/>
      <c r="D24" s="5"/>
      <c r="E24" s="5"/>
      <c r="F24" s="5"/>
      <c r="G24" s="5"/>
      <c r="H24" s="5"/>
      <c r="I24" s="1052"/>
      <c r="J24" s="1052"/>
      <c r="K24" s="1052"/>
      <c r="L24" s="1052"/>
      <c r="M24" s="1053"/>
      <c r="N24" s="1051"/>
      <c r="O24" s="644"/>
      <c r="P24" s="607"/>
      <c r="Q24" s="1551" t="s">
        <v>4</v>
      </c>
      <c r="R24" s="1922">
        <f ca="1">IF(R9="","?",R23+S11+S12)</f>
        <v>45924.809027777774</v>
      </c>
      <c r="S24" s="1922"/>
      <c r="T24" s="1922"/>
      <c r="U24" s="607"/>
    </row>
    <row r="25" spans="1:23" ht="15.75">
      <c r="A25" s="607"/>
      <c r="B25" s="7"/>
      <c r="C25" s="5"/>
      <c r="D25" s="5"/>
      <c r="E25" s="5"/>
      <c r="F25" s="5"/>
      <c r="G25" s="5"/>
      <c r="H25" s="5"/>
      <c r="I25" s="1052"/>
      <c r="J25" s="1052"/>
      <c r="K25" s="1052"/>
      <c r="M25" s="1810"/>
      <c r="N25" s="1051"/>
      <c r="O25" s="644"/>
      <c r="P25" s="607"/>
      <c r="Q25" s="1551" t="str">
        <f ca="1">"Dag "&amp;IF(R9="","?",_xlfn.DAYS(R25,R23)+1)</f>
        <v>Dag 4</v>
      </c>
      <c r="R25" s="1922">
        <f ca="1">IF(R9="","?",R23+SUM(S11:S16))</f>
        <v>45926.729166666664</v>
      </c>
      <c r="S25" s="1922"/>
      <c r="T25" s="1922"/>
      <c r="U25" s="607"/>
    </row>
    <row r="26" spans="1:23" ht="18">
      <c r="A26" s="607"/>
      <c r="B26" s="1379" t="s">
        <v>1035</v>
      </c>
      <c r="C26" s="937" t="s">
        <v>0</v>
      </c>
      <c r="D26" s="3"/>
      <c r="E26" s="2045"/>
      <c r="F26" s="2045"/>
      <c r="G26" s="1958" t="str">
        <f>IF(M8="","","Start ca. kl.")</f>
        <v/>
      </c>
      <c r="H26" s="1958"/>
      <c r="I26" s="901"/>
      <c r="J26" s="1055"/>
      <c r="K26" s="82"/>
      <c r="L26" s="1795" t="str">
        <f ca="1">TEXT(R23,"dddd")</f>
        <v>tirsdag</v>
      </c>
      <c r="M26" s="1796">
        <f ca="1">IF($R$8="","",R23)</f>
        <v>45923.798611111109</v>
      </c>
      <c r="N26" s="1635"/>
      <c r="O26" s="644"/>
      <c r="P26" s="607"/>
      <c r="Q26" s="610"/>
      <c r="R26" s="610"/>
      <c r="S26" s="611"/>
      <c r="T26" s="607"/>
      <c r="U26" s="607"/>
    </row>
    <row r="27" spans="1:23" ht="16.5" thickBot="1">
      <c r="A27" s="607"/>
      <c r="B27" s="1057"/>
      <c r="C27" s="902"/>
      <c r="D27" s="425"/>
      <c r="E27" s="425"/>
      <c r="F27" s="425"/>
      <c r="G27" s="425"/>
      <c r="H27" s="425"/>
      <c r="I27" s="425"/>
      <c r="J27" s="425"/>
      <c r="K27" s="425"/>
      <c r="L27" s="425"/>
      <c r="M27" s="1025"/>
      <c r="N27" s="6"/>
      <c r="O27" s="644"/>
      <c r="P27" s="652"/>
      <c r="Q27" s="696"/>
      <c r="R27" s="696"/>
      <c r="S27" s="654"/>
      <c r="T27" s="1540"/>
      <c r="U27" s="1540"/>
    </row>
    <row r="28" spans="1:23" ht="18">
      <c r="A28" s="607"/>
      <c r="B28" s="1398" t="s">
        <v>1034</v>
      </c>
      <c r="C28" s="708">
        <v>1</v>
      </c>
      <c r="D28" s="425" t="s">
        <v>672</v>
      </c>
      <c r="E28" s="425"/>
      <c r="F28" s="425"/>
      <c r="G28" s="425"/>
      <c r="H28" s="425"/>
      <c r="I28" s="425"/>
      <c r="J28" s="425"/>
      <c r="K28" s="425"/>
      <c r="L28" s="1033" t="str">
        <f>ROUND(I21,0)&amp;" "&amp;J21&amp;", "&amp;ROUND(I22,2)&amp;" g. "&amp;AA11</f>
        <v>489 g vand (kold), 0,77 g. frisk gær</v>
      </c>
      <c r="M28" s="845"/>
      <c r="N28" s="6"/>
      <c r="O28" s="644"/>
      <c r="P28" s="607"/>
      <c r="Q28" s="610"/>
      <c r="R28" s="610"/>
      <c r="S28" s="611"/>
      <c r="T28" s="607"/>
      <c r="U28" s="607"/>
    </row>
    <row r="29" spans="1:23" ht="15.75">
      <c r="A29" s="607"/>
      <c r="B29" s="1057"/>
      <c r="C29" s="708"/>
      <c r="D29" s="425" t="s">
        <v>829</v>
      </c>
      <c r="E29" s="425"/>
      <c r="F29" s="425"/>
      <c r="G29" s="425"/>
      <c r="H29" s="425"/>
      <c r="I29" s="425"/>
      <c r="J29" s="425"/>
      <c r="K29" s="425"/>
      <c r="L29" s="1279" t="str">
        <f>ROUND(I20,0)&amp;" g. mel."</f>
        <v>978 g. mel.</v>
      </c>
      <c r="M29" s="846"/>
      <c r="N29" s="6"/>
      <c r="O29" s="644"/>
      <c r="P29" s="607"/>
      <c r="Q29" s="610"/>
      <c r="R29" s="610"/>
      <c r="S29" s="611"/>
      <c r="T29" s="607"/>
      <c r="U29" s="607"/>
    </row>
    <row r="30" spans="1:23" ht="15.75">
      <c r="A30" s="607"/>
      <c r="B30" s="1057"/>
      <c r="C30" s="902"/>
      <c r="D30" s="425"/>
      <c r="E30" s="425"/>
      <c r="F30" s="425"/>
      <c r="G30" s="425"/>
      <c r="H30" s="425"/>
      <c r="I30" s="425"/>
      <c r="J30" s="425"/>
      <c r="K30" s="425"/>
      <c r="L30" s="425"/>
      <c r="M30" s="1025"/>
      <c r="N30" s="6"/>
      <c r="O30" s="644"/>
      <c r="P30" s="607"/>
      <c r="Q30" s="674" t="s">
        <v>482</v>
      </c>
      <c r="R30" s="674"/>
      <c r="S30" s="616"/>
      <c r="T30" s="607"/>
      <c r="U30" s="607"/>
      <c r="W30" s="156"/>
    </row>
    <row r="31" spans="1:23" ht="18">
      <c r="A31" s="607"/>
      <c r="B31" s="1398" t="s">
        <v>1034</v>
      </c>
      <c r="C31" s="708">
        <v>2</v>
      </c>
      <c r="D31" s="425" t="s">
        <v>701</v>
      </c>
      <c r="E31" s="425"/>
      <c r="F31" s="425"/>
      <c r="G31" s="425"/>
      <c r="H31" s="425"/>
      <c r="I31" s="425"/>
      <c r="J31" s="425"/>
      <c r="K31" s="425"/>
      <c r="L31" s="861"/>
      <c r="M31" s="1025"/>
      <c r="N31" s="6"/>
      <c r="O31" s="644"/>
      <c r="P31" s="607"/>
      <c r="Q31" s="610" t="s">
        <v>1206</v>
      </c>
      <c r="R31" s="610"/>
      <c r="S31" s="617"/>
      <c r="T31" s="607"/>
      <c r="U31" s="607"/>
    </row>
    <row r="32" spans="1:23" ht="15.75">
      <c r="A32" s="607"/>
      <c r="B32" s="1057"/>
      <c r="C32" s="708"/>
      <c r="D32" s="425" t="str">
        <f>IF(R8=""," i ca. 20-24 timer.","i ca. "&amp;TEXT(S12,"[tt]")&amp;" timer.")</f>
        <v>i ca. 24 timer.</v>
      </c>
      <c r="E32" s="425"/>
      <c r="F32" s="425"/>
      <c r="G32" s="425"/>
      <c r="H32" s="425"/>
      <c r="I32" s="425"/>
      <c r="J32" s="425"/>
      <c r="K32" s="425"/>
      <c r="L32" s="1280"/>
      <c r="M32" s="1064"/>
      <c r="N32" s="6"/>
      <c r="O32" s="644"/>
      <c r="P32" s="608"/>
      <c r="Q32" s="610" t="s">
        <v>1207</v>
      </c>
      <c r="R32" s="610"/>
      <c r="S32" s="617"/>
      <c r="T32" s="608"/>
      <c r="U32" s="607"/>
    </row>
    <row r="33" spans="1:21" ht="15.75">
      <c r="A33" s="607"/>
      <c r="B33" s="1057"/>
      <c r="C33" s="708"/>
      <c r="D33" s="425"/>
      <c r="E33" s="425"/>
      <c r="F33" s="425"/>
      <c r="G33" s="425"/>
      <c r="H33" s="897"/>
      <c r="I33" s="425"/>
      <c r="J33" s="425"/>
      <c r="K33" s="425"/>
      <c r="L33" s="1281"/>
      <c r="M33" s="1064"/>
      <c r="N33" s="6"/>
      <c r="O33" s="644"/>
      <c r="P33" s="608"/>
      <c r="Q33" s="610" t="s">
        <v>359</v>
      </c>
      <c r="R33" s="610"/>
      <c r="S33" s="607"/>
      <c r="T33" s="608"/>
      <c r="U33" s="607"/>
    </row>
    <row r="34" spans="1:21" ht="15.75">
      <c r="A34" s="607"/>
      <c r="B34" s="2"/>
      <c r="C34" s="937" t="s">
        <v>4</v>
      </c>
      <c r="D34" s="3"/>
      <c r="E34" s="2045"/>
      <c r="F34" s="2045"/>
      <c r="G34" s="1958" t="str">
        <f>IF(M8="","","Start ca. kl.")</f>
        <v/>
      </c>
      <c r="H34" s="1958"/>
      <c r="I34" s="901"/>
      <c r="J34" s="536"/>
      <c r="K34" s="82"/>
      <c r="L34" s="1794" t="str">
        <f ca="1">TEXT(R24,"dddd")</f>
        <v>onsdag</v>
      </c>
      <c r="M34" s="1796">
        <f ca="1">IF($R$8="","",R24)</f>
        <v>45924.809027777774</v>
      </c>
      <c r="N34" s="6"/>
      <c r="O34" s="644"/>
      <c r="P34" s="608"/>
      <c r="Q34" s="608" t="s">
        <v>360</v>
      </c>
      <c r="R34" s="608"/>
      <c r="S34" s="607"/>
      <c r="T34" s="608"/>
      <c r="U34" s="607"/>
    </row>
    <row r="35" spans="1:21" ht="15.75">
      <c r="A35" s="607"/>
      <c r="B35" s="1057"/>
      <c r="C35" s="708"/>
      <c r="D35" s="425"/>
      <c r="E35" s="902"/>
      <c r="F35" s="902"/>
      <c r="G35" s="425"/>
      <c r="H35" s="425"/>
      <c r="I35" s="425"/>
      <c r="J35" s="425"/>
      <c r="K35" s="425"/>
      <c r="L35" s="425"/>
      <c r="M35" s="1025"/>
      <c r="N35" s="6"/>
      <c r="O35" s="644"/>
      <c r="P35" s="608"/>
      <c r="Q35" s="610" t="s">
        <v>354</v>
      </c>
      <c r="R35" s="610"/>
      <c r="S35" s="617"/>
      <c r="T35" s="608"/>
      <c r="U35" s="607"/>
    </row>
    <row r="36" spans="1:21" ht="18">
      <c r="A36" s="607"/>
      <c r="B36" s="1398" t="s">
        <v>1034</v>
      </c>
      <c r="C36" s="708">
        <v>3</v>
      </c>
      <c r="D36" s="425" t="s">
        <v>676</v>
      </c>
      <c r="E36" s="425"/>
      <c r="F36" s="425"/>
      <c r="G36" s="425"/>
      <c r="H36" s="425"/>
      <c r="I36" s="425"/>
      <c r="J36" s="425"/>
      <c r="K36" s="425"/>
      <c r="L36" s="1220" t="str">
        <f>ROUND(L20,0)&amp;" "&amp;M20</f>
        <v>126 g vand (fra køl 5-7°)</v>
      </c>
      <c r="M36" s="847"/>
      <c r="N36" s="6"/>
      <c r="O36" s="644"/>
      <c r="P36" s="608"/>
      <c r="Q36" s="610" t="s">
        <v>356</v>
      </c>
      <c r="R36" s="610"/>
      <c r="S36" s="617"/>
      <c r="T36" s="608"/>
      <c r="U36" s="607"/>
    </row>
    <row r="37" spans="1:21" ht="15.75">
      <c r="A37" s="607"/>
      <c r="B37" s="1399"/>
      <c r="C37" s="902"/>
      <c r="D37" s="425"/>
      <c r="E37" s="425"/>
      <c r="F37" s="425"/>
      <c r="G37" s="425"/>
      <c r="H37" s="425"/>
      <c r="I37" s="425"/>
      <c r="J37" s="425"/>
      <c r="K37" s="425"/>
      <c r="L37" s="425"/>
      <c r="M37" s="1025"/>
      <c r="N37" s="6"/>
      <c r="O37" s="644"/>
      <c r="P37" s="1268"/>
      <c r="Q37" s="610"/>
      <c r="R37" s="610"/>
      <c r="S37" s="617"/>
      <c r="T37" s="607"/>
      <c r="U37" s="607"/>
    </row>
    <row r="38" spans="1:21" ht="18">
      <c r="A38" s="607"/>
      <c r="B38" s="1398" t="s">
        <v>1034</v>
      </c>
      <c r="C38" s="708">
        <v>4</v>
      </c>
      <c r="D38" s="425" t="s">
        <v>673</v>
      </c>
      <c r="E38" s="425"/>
      <c r="F38" s="425"/>
      <c r="G38" s="425"/>
      <c r="H38" s="425"/>
      <c r="I38" s="425"/>
      <c r="J38" s="425"/>
      <c r="K38" s="425"/>
      <c r="L38" s="1282"/>
      <c r="M38" s="1022"/>
      <c r="N38" s="6"/>
      <c r="O38" s="644"/>
      <c r="P38" s="607"/>
      <c r="Q38" s="615" t="s">
        <v>361</v>
      </c>
      <c r="R38" s="615"/>
      <c r="S38" s="615"/>
      <c r="T38" s="607"/>
      <c r="U38" s="607"/>
    </row>
    <row r="39" spans="1:21" ht="15.75">
      <c r="A39" s="607"/>
      <c r="B39" s="1399"/>
      <c r="C39" s="902"/>
      <c r="D39" s="425"/>
      <c r="E39" s="425"/>
      <c r="F39" s="425"/>
      <c r="G39" s="425"/>
      <c r="H39" s="425"/>
      <c r="I39" s="425"/>
      <c r="J39" s="425"/>
      <c r="K39" s="425"/>
      <c r="L39" s="425"/>
      <c r="M39" s="1025"/>
      <c r="N39" s="6"/>
      <c r="O39" s="644"/>
      <c r="P39" s="607"/>
      <c r="Q39" s="720" t="s">
        <v>338</v>
      </c>
      <c r="R39" s="720"/>
      <c r="S39" s="720"/>
      <c r="T39" s="189">
        <v>20</v>
      </c>
      <c r="U39" s="607"/>
    </row>
    <row r="40" spans="1:21" ht="18">
      <c r="A40" s="607"/>
      <c r="B40" s="1398" t="s">
        <v>1034</v>
      </c>
      <c r="C40" s="708">
        <v>5</v>
      </c>
      <c r="D40" s="425" t="s">
        <v>734</v>
      </c>
      <c r="E40" s="425"/>
      <c r="F40" s="425"/>
      <c r="G40" s="425"/>
      <c r="H40" s="425"/>
      <c r="I40" s="425"/>
      <c r="J40" s="425"/>
      <c r="K40" s="425"/>
      <c r="L40" s="425"/>
      <c r="M40" s="1025"/>
      <c r="N40" s="6"/>
      <c r="O40" s="644"/>
      <c r="P40" s="607"/>
      <c r="Q40" s="645" t="s">
        <v>339</v>
      </c>
      <c r="R40" s="645"/>
      <c r="S40" s="645"/>
      <c r="T40" s="190"/>
      <c r="U40" s="607"/>
    </row>
    <row r="41" spans="1:21" ht="15.75">
      <c r="A41" s="607"/>
      <c r="B41" s="1399"/>
      <c r="C41" s="902"/>
      <c r="D41" s="425"/>
      <c r="E41" s="425"/>
      <c r="F41" s="425"/>
      <c r="G41" s="425"/>
      <c r="H41" s="425"/>
      <c r="I41" s="425"/>
      <c r="J41" s="425"/>
      <c r="K41" s="425"/>
      <c r="L41" s="425"/>
      <c r="M41" s="1025"/>
      <c r="N41" s="6"/>
      <c r="O41" s="644"/>
      <c r="P41" s="607"/>
      <c r="Q41" s="645" t="s">
        <v>340</v>
      </c>
      <c r="R41" s="645"/>
      <c r="S41" s="645"/>
      <c r="T41" s="190">
        <v>17</v>
      </c>
      <c r="U41" s="607"/>
    </row>
    <row r="42" spans="1:21" ht="18">
      <c r="A42" s="607"/>
      <c r="B42" s="1398" t="s">
        <v>1034</v>
      </c>
      <c r="C42" s="940">
        <v>6</v>
      </c>
      <c r="D42" s="425" t="s">
        <v>857</v>
      </c>
      <c r="E42" s="425"/>
      <c r="F42" s="425"/>
      <c r="G42" s="425"/>
      <c r="H42" s="425"/>
      <c r="I42" s="425"/>
      <c r="J42" s="425"/>
      <c r="K42" s="1058"/>
      <c r="L42" s="1220" t="str">
        <f>ROUND(L21,0)&amp;" g. salt"</f>
        <v>26 g. salt</v>
      </c>
      <c r="M42" s="848"/>
      <c r="N42" s="6"/>
      <c r="O42" s="644"/>
      <c r="P42" s="607"/>
      <c r="Q42" s="612" t="s">
        <v>341</v>
      </c>
      <c r="R42" s="612"/>
      <c r="S42" s="612"/>
      <c r="T42" s="191"/>
      <c r="U42" s="607"/>
    </row>
    <row r="43" spans="1:21" ht="15.75">
      <c r="A43" s="607"/>
      <c r="B43" s="1399"/>
      <c r="C43" s="940"/>
      <c r="D43" s="425" t="s">
        <v>656</v>
      </c>
      <c r="E43" s="892"/>
      <c r="F43" s="892"/>
      <c r="G43" s="892"/>
      <c r="H43" s="892"/>
      <c r="I43" s="893"/>
      <c r="J43" s="893"/>
      <c r="K43" s="425"/>
      <c r="L43" s="425"/>
      <c r="M43" s="1025"/>
      <c r="N43" s="6"/>
      <c r="O43" s="644"/>
      <c r="P43" s="607"/>
      <c r="Q43" s="645" t="s">
        <v>342</v>
      </c>
      <c r="R43" s="645"/>
      <c r="S43" s="645"/>
      <c r="T43" s="2012" t="str">
        <f>IF(OR(T39="",T40="",T41=""),"",(T39*2)-T40-T41-(T42*2)&amp;"°")</f>
        <v/>
      </c>
      <c r="U43" s="607"/>
    </row>
    <row r="44" spans="1:21" ht="15.75">
      <c r="A44" s="607"/>
      <c r="B44" s="1399"/>
      <c r="C44" s="902"/>
      <c r="D44" s="425"/>
      <c r="E44" s="425"/>
      <c r="F44" s="425"/>
      <c r="G44" s="425"/>
      <c r="H44" s="425"/>
      <c r="I44" s="425"/>
      <c r="J44" s="425"/>
      <c r="K44" s="425"/>
      <c r="L44" s="425"/>
      <c r="M44" s="1025"/>
      <c r="N44" s="6"/>
      <c r="O44" s="644"/>
      <c r="P44" s="607"/>
      <c r="Q44" s="647" t="s">
        <v>343</v>
      </c>
      <c r="R44" s="647"/>
      <c r="S44" s="647"/>
      <c r="T44" s="2013"/>
      <c r="U44" s="607"/>
    </row>
    <row r="45" spans="1:21" ht="18">
      <c r="A45" s="607"/>
      <c r="B45" s="1398" t="s">
        <v>1034</v>
      </c>
      <c r="C45" s="940">
        <v>7</v>
      </c>
      <c r="D45" s="425" t="s">
        <v>675</v>
      </c>
      <c r="E45" s="425"/>
      <c r="F45" s="425"/>
      <c r="G45" s="425"/>
      <c r="H45" s="425"/>
      <c r="I45" s="425"/>
      <c r="J45" s="425"/>
      <c r="K45" s="425"/>
      <c r="L45" s="425"/>
      <c r="M45" s="1025"/>
      <c r="N45" s="6"/>
      <c r="O45" s="644"/>
      <c r="P45" s="607"/>
      <c r="Q45" s="608"/>
      <c r="R45" s="608"/>
      <c r="S45" s="608"/>
      <c r="T45" s="607"/>
      <c r="U45" s="607"/>
    </row>
    <row r="46" spans="1:21" ht="15.75">
      <c r="A46" s="607"/>
      <c r="B46" s="1399"/>
      <c r="C46" s="902"/>
      <c r="D46" s="425"/>
      <c r="E46" s="425"/>
      <c r="F46" s="425"/>
      <c r="G46" s="425"/>
      <c r="H46" s="425"/>
      <c r="I46" s="425"/>
      <c r="J46" s="425"/>
      <c r="K46" s="425"/>
      <c r="L46" s="425"/>
      <c r="M46" s="1025"/>
      <c r="N46" s="6"/>
      <c r="O46" s="644"/>
      <c r="P46" s="607"/>
      <c r="Q46" s="609" t="s">
        <v>362</v>
      </c>
      <c r="R46" s="609"/>
      <c r="S46" s="609"/>
      <c r="T46" s="607"/>
      <c r="U46" s="607"/>
    </row>
    <row r="47" spans="1:21" ht="18">
      <c r="A47" s="607"/>
      <c r="B47" s="1398" t="s">
        <v>1034</v>
      </c>
      <c r="C47" s="940">
        <v>8</v>
      </c>
      <c r="D47" s="425" t="str">
        <f>"Del dejen i "&amp;F7&amp;" lige store klumper (vej evt. dejen først og divider med "&amp;F7&amp;")."</f>
        <v>Del dejen i 6 lige store klumper (vej evt. dejen først og divider med 6).</v>
      </c>
      <c r="E47" s="425"/>
      <c r="F47" s="425"/>
      <c r="G47" s="425"/>
      <c r="H47" s="425"/>
      <c r="I47" s="425"/>
      <c r="J47" s="425"/>
      <c r="K47" s="425"/>
      <c r="L47" s="425"/>
      <c r="M47" s="1025"/>
      <c r="N47" s="6"/>
      <c r="O47" s="644"/>
      <c r="P47" s="607"/>
      <c r="Q47" s="610" t="s">
        <v>364</v>
      </c>
      <c r="R47" s="610"/>
      <c r="S47" s="608"/>
      <c r="T47" s="607"/>
      <c r="U47" s="607"/>
    </row>
    <row r="48" spans="1:21" ht="15.75">
      <c r="A48" s="607"/>
      <c r="B48" s="1399"/>
      <c r="C48" s="902"/>
      <c r="D48" s="425"/>
      <c r="E48" s="425"/>
      <c r="F48" s="425"/>
      <c r="G48" s="425"/>
      <c r="H48" s="425"/>
      <c r="I48" s="425"/>
      <c r="J48" s="425"/>
      <c r="K48" s="425"/>
      <c r="L48" s="425"/>
      <c r="M48" s="1025"/>
      <c r="N48" s="6"/>
      <c r="O48" s="644"/>
      <c r="P48" s="607"/>
      <c r="Q48" s="610" t="s">
        <v>363</v>
      </c>
      <c r="R48" s="610"/>
      <c r="S48" s="608"/>
      <c r="T48" s="607"/>
      <c r="U48" s="607"/>
    </row>
    <row r="49" spans="1:21" ht="18">
      <c r="A49" s="607"/>
      <c r="B49" s="1398" t="s">
        <v>1034</v>
      </c>
      <c r="C49" s="940">
        <v>9</v>
      </c>
      <c r="D49" s="425" t="s">
        <v>307</v>
      </c>
      <c r="E49" s="425"/>
      <c r="F49" s="425"/>
      <c r="G49" s="425"/>
      <c r="H49" s="425"/>
      <c r="I49" s="425"/>
      <c r="J49" s="425"/>
      <c r="K49" s="425"/>
      <c r="L49" s="425"/>
      <c r="M49" s="1025"/>
      <c r="N49" s="6"/>
      <c r="O49" s="644"/>
      <c r="P49" s="607"/>
      <c r="Q49" s="651" t="s">
        <v>365</v>
      </c>
      <c r="R49" s="651"/>
      <c r="S49" s="608"/>
      <c r="T49" s="607"/>
      <c r="U49" s="607"/>
    </row>
    <row r="50" spans="1:21" ht="15.75">
      <c r="A50" s="607"/>
      <c r="B50" s="1399"/>
      <c r="C50" s="902"/>
      <c r="D50" s="425"/>
      <c r="E50" s="425"/>
      <c r="F50" s="425"/>
      <c r="G50" s="425"/>
      <c r="H50" s="425"/>
      <c r="I50" s="425"/>
      <c r="J50" s="425"/>
      <c r="K50" s="425"/>
      <c r="L50" s="425"/>
      <c r="M50" s="1025"/>
      <c r="N50" s="6"/>
      <c r="O50" s="644"/>
      <c r="P50" s="607"/>
      <c r="Q50" s="608" t="s">
        <v>474</v>
      </c>
      <c r="R50" s="608"/>
      <c r="S50" s="611"/>
      <c r="T50" s="607"/>
      <c r="U50" s="607"/>
    </row>
    <row r="51" spans="1:21" ht="18">
      <c r="A51" s="607"/>
      <c r="B51" s="1398" t="s">
        <v>1034</v>
      </c>
      <c r="C51" s="708">
        <v>10</v>
      </c>
      <c r="D51" s="425" t="str">
        <f>IF(R8="","Placer dem i en lukket kasse (hævekasse) og sæt dem på køl i ca. 24-48 timer.","Placer dem i en lukket kasse (hævekasse) og sæt dem på køl i ca. "&amp;TEXT(S16,"[tt]")&amp;" timer.")</f>
        <v>Placer dem i en lukket kasse (hævekasse) og sæt dem på køl i ca. 45 timer.</v>
      </c>
      <c r="E51" s="425"/>
      <c r="F51" s="425"/>
      <c r="G51" s="425"/>
      <c r="H51" s="425"/>
      <c r="I51" s="425"/>
      <c r="J51" s="425"/>
      <c r="K51" s="425"/>
      <c r="L51" s="1061"/>
      <c r="M51" s="1061"/>
      <c r="N51" s="6"/>
      <c r="O51" s="644"/>
      <c r="P51" s="607"/>
      <c r="Q51" s="608" t="s">
        <v>366</v>
      </c>
      <c r="R51" s="608"/>
      <c r="S51" s="611"/>
      <c r="T51" s="607"/>
      <c r="U51" s="607"/>
    </row>
    <row r="52" spans="1:21" ht="15.75">
      <c r="A52" s="607"/>
      <c r="B52" s="1399"/>
      <c r="C52" s="708"/>
      <c r="D52" s="893" t="s">
        <v>698</v>
      </c>
      <c r="E52" s="425"/>
      <c r="F52" s="425"/>
      <c r="G52" s="425"/>
      <c r="H52" s="425"/>
      <c r="I52" s="425"/>
      <c r="J52" s="425"/>
      <c r="K52" s="425"/>
      <c r="L52" s="1061"/>
      <c r="M52" s="1061"/>
      <c r="N52" s="6"/>
      <c r="O52" s="644"/>
      <c r="P52" s="607"/>
      <c r="Q52" s="610"/>
      <c r="R52" s="610"/>
      <c r="S52" s="611"/>
      <c r="T52" s="607"/>
      <c r="U52" s="607"/>
    </row>
    <row r="53" spans="1:21" ht="15.75">
      <c r="A53" s="607"/>
      <c r="B53" s="1399"/>
      <c r="C53" s="708"/>
      <c r="D53" s="425"/>
      <c r="E53" s="425"/>
      <c r="F53" s="425"/>
      <c r="G53" s="425"/>
      <c r="H53" s="425"/>
      <c r="I53" s="425"/>
      <c r="J53" s="425"/>
      <c r="K53" s="425"/>
      <c r="L53" s="425"/>
      <c r="M53" s="1025"/>
      <c r="N53" s="6"/>
      <c r="O53" s="644"/>
      <c r="P53" s="607"/>
      <c r="Q53" s="610"/>
      <c r="R53" s="610"/>
      <c r="S53" s="611"/>
      <c r="T53" s="607"/>
      <c r="U53" s="607"/>
    </row>
    <row r="54" spans="1:21" ht="15.75">
      <c r="A54" s="607"/>
      <c r="B54" s="1646"/>
      <c r="C54" s="937" t="str">
        <f ca="1">IF(R9="","Dag 3-4",Q25)</f>
        <v>Dag 4</v>
      </c>
      <c r="D54" s="3"/>
      <c r="E54" s="2045"/>
      <c r="F54" s="2045"/>
      <c r="G54" s="1958" t="str">
        <f>IF(M8="","","Start ca. kl.")</f>
        <v/>
      </c>
      <c r="H54" s="1958"/>
      <c r="I54" s="810"/>
      <c r="J54" s="810"/>
      <c r="K54" s="82"/>
      <c r="L54" s="1795" t="str">
        <f ca="1">TEXT(R25,"dddd")</f>
        <v>fredag</v>
      </c>
      <c r="M54" s="1796">
        <f ca="1">IF($R$8="","",R25)</f>
        <v>45926.729166666664</v>
      </c>
      <c r="N54" s="6"/>
      <c r="O54" s="644"/>
      <c r="P54" s="607"/>
      <c r="Q54" s="610"/>
      <c r="R54" s="610"/>
      <c r="S54" s="611"/>
      <c r="T54" s="607"/>
      <c r="U54" s="607"/>
    </row>
    <row r="55" spans="1:21" ht="15.75">
      <c r="A55" s="607"/>
      <c r="B55" s="1399"/>
      <c r="C55" s="902"/>
      <c r="D55" s="425"/>
      <c r="E55" s="425"/>
      <c r="F55" s="425"/>
      <c r="G55" s="425"/>
      <c r="H55" s="425"/>
      <c r="I55" s="425"/>
      <c r="J55" s="425"/>
      <c r="K55" s="425"/>
      <c r="L55" s="425"/>
      <c r="M55" s="1025"/>
      <c r="N55" s="6"/>
      <c r="O55" s="644"/>
      <c r="P55" s="607"/>
      <c r="Q55" s="610"/>
      <c r="R55" s="610"/>
      <c r="S55" s="611"/>
      <c r="T55" s="607"/>
      <c r="U55" s="607"/>
    </row>
    <row r="56" spans="1:21" ht="18">
      <c r="A56" s="607"/>
      <c r="B56" s="1398" t="s">
        <v>1034</v>
      </c>
      <c r="C56" s="708">
        <v>11</v>
      </c>
      <c r="D56" s="896" t="str">
        <f>IF(OR(R8="",S19=0),"Tag dejen ud. Form til pizza direkte fra køl.","Tag dejen ud og lade den temperere i "&amp;TEXT(S19,"[t]")&amp;" time(r).")</f>
        <v>Tag dejen ud. Form til pizza direkte fra køl.</v>
      </c>
      <c r="E56" s="896"/>
      <c r="F56" s="896"/>
      <c r="G56" s="896"/>
      <c r="H56" s="896"/>
      <c r="I56" s="896"/>
      <c r="J56" s="896"/>
      <c r="K56" s="896"/>
      <c r="L56" s="896"/>
      <c r="M56" s="425"/>
      <c r="N56" s="6"/>
      <c r="O56" s="644"/>
      <c r="P56" s="607"/>
      <c r="Q56" s="610"/>
      <c r="R56" s="610"/>
      <c r="S56" s="611"/>
      <c r="T56" s="607"/>
      <c r="U56" s="607"/>
    </row>
    <row r="57" spans="1:21" ht="15.75">
      <c r="A57" s="607"/>
      <c r="B57" s="1059"/>
      <c r="C57" s="425"/>
      <c r="D57" s="425"/>
      <c r="E57" s="425"/>
      <c r="F57" s="425"/>
      <c r="G57" s="425"/>
      <c r="H57" s="425"/>
      <c r="I57" s="425"/>
      <c r="J57" s="425"/>
      <c r="K57" s="425"/>
      <c r="L57" s="425"/>
      <c r="M57" s="1025"/>
      <c r="N57" s="6"/>
      <c r="O57" s="644"/>
      <c r="P57" s="607"/>
      <c r="Q57" s="610"/>
      <c r="R57" s="610"/>
      <c r="S57" s="611"/>
      <c r="T57" s="607"/>
      <c r="U57" s="607"/>
    </row>
    <row r="58" spans="1:21">
      <c r="A58" s="607"/>
      <c r="B58" s="2"/>
      <c r="C58" s="3"/>
      <c r="D58" s="3"/>
      <c r="E58" s="3"/>
      <c r="F58" s="3"/>
      <c r="G58" s="3"/>
      <c r="H58" s="3"/>
      <c r="I58" s="3"/>
      <c r="J58" s="3"/>
      <c r="K58" s="3"/>
      <c r="L58" s="1062" t="s">
        <v>523</v>
      </c>
      <c r="M58" s="1062"/>
      <c r="N58" s="1060"/>
      <c r="O58" s="644"/>
      <c r="P58" s="607"/>
      <c r="Q58" s="610"/>
      <c r="R58" s="610"/>
      <c r="S58" s="611"/>
      <c r="T58" s="607"/>
      <c r="U58" s="607"/>
    </row>
    <row r="59" spans="1:21">
      <c r="A59" s="607"/>
      <c r="B59" s="607"/>
      <c r="C59" s="607"/>
      <c r="D59" s="607"/>
      <c r="E59" s="607"/>
      <c r="F59" s="607"/>
      <c r="G59" s="607"/>
      <c r="H59" s="607"/>
      <c r="I59" s="607"/>
      <c r="J59" s="607"/>
      <c r="K59" s="607"/>
      <c r="L59" s="607"/>
      <c r="M59" s="722"/>
      <c r="N59" s="607"/>
      <c r="O59" s="644"/>
      <c r="P59" s="607"/>
      <c r="Q59" s="610"/>
      <c r="R59" s="610"/>
      <c r="S59" s="611"/>
      <c r="T59" s="607"/>
      <c r="U59" s="607"/>
    </row>
    <row r="60" spans="1:21">
      <c r="A60" s="607"/>
      <c r="B60" s="607"/>
      <c r="C60" s="607"/>
      <c r="D60" s="607"/>
      <c r="E60" s="607"/>
      <c r="F60" s="607"/>
      <c r="G60" s="607"/>
      <c r="H60" s="607"/>
      <c r="I60" s="607"/>
      <c r="J60" s="607"/>
      <c r="K60" s="607"/>
      <c r="L60" s="607"/>
      <c r="M60" s="722"/>
      <c r="N60" s="607"/>
      <c r="O60" s="644"/>
      <c r="P60" s="607"/>
      <c r="Q60" s="610"/>
      <c r="R60" s="610"/>
      <c r="S60" s="611"/>
      <c r="T60" s="607"/>
      <c r="U60" s="607"/>
    </row>
    <row r="61" spans="1:21">
      <c r="A61" s="607"/>
      <c r="B61" s="607"/>
      <c r="C61" s="607"/>
      <c r="D61" s="607"/>
      <c r="E61" s="607"/>
      <c r="F61" s="607"/>
      <c r="G61" s="607"/>
      <c r="H61" s="607"/>
      <c r="I61" s="607"/>
      <c r="J61" s="607"/>
      <c r="K61" s="607"/>
      <c r="L61" s="607"/>
      <c r="M61" s="722"/>
      <c r="N61" s="607"/>
      <c r="O61" s="644"/>
      <c r="P61" s="607"/>
      <c r="Q61" s="610"/>
      <c r="R61" s="610"/>
      <c r="S61" s="611"/>
      <c r="T61" s="607"/>
      <c r="U61" s="607"/>
    </row>
    <row r="62" spans="1:21">
      <c r="A62" s="607"/>
      <c r="B62" s="607"/>
      <c r="C62" s="607"/>
      <c r="D62" s="607"/>
      <c r="E62" s="607"/>
      <c r="F62" s="607"/>
      <c r="G62" s="607"/>
      <c r="H62" s="607"/>
      <c r="I62" s="607"/>
      <c r="J62" s="607"/>
      <c r="K62" s="607"/>
      <c r="L62" s="607"/>
      <c r="M62" s="722"/>
      <c r="N62" s="607"/>
      <c r="O62" s="644"/>
      <c r="P62" s="607"/>
      <c r="Q62" s="610"/>
      <c r="R62" s="610"/>
      <c r="S62" s="611"/>
      <c r="T62" s="607"/>
      <c r="U62" s="607"/>
    </row>
    <row r="63" spans="1:21">
      <c r="A63" s="607"/>
      <c r="B63" s="607"/>
      <c r="C63" s="607"/>
      <c r="D63" s="607"/>
      <c r="E63" s="607"/>
      <c r="F63" s="607"/>
      <c r="G63" s="607"/>
      <c r="H63" s="607"/>
      <c r="I63" s="607"/>
      <c r="J63" s="607"/>
      <c r="K63" s="607"/>
      <c r="L63" s="607"/>
      <c r="M63" s="722"/>
      <c r="N63" s="607"/>
      <c r="O63" s="644"/>
      <c r="P63" s="607"/>
      <c r="Q63" s="610"/>
      <c r="R63" s="610"/>
      <c r="S63" s="611"/>
      <c r="T63" s="607"/>
      <c r="U63" s="607"/>
    </row>
    <row r="64" spans="1:21">
      <c r="A64" s="607"/>
      <c r="B64" s="607"/>
      <c r="C64" s="607"/>
      <c r="D64" s="607"/>
      <c r="E64" s="607"/>
      <c r="F64" s="607"/>
      <c r="G64" s="607"/>
      <c r="H64" s="607"/>
      <c r="I64" s="607"/>
      <c r="J64" s="607"/>
      <c r="K64" s="607"/>
      <c r="L64" s="607"/>
      <c r="M64" s="722"/>
      <c r="N64" s="607"/>
      <c r="O64" s="644"/>
      <c r="P64" s="607"/>
      <c r="Q64" s="610"/>
      <c r="R64" s="610"/>
      <c r="S64" s="611"/>
      <c r="T64" s="607"/>
      <c r="U64" s="607"/>
    </row>
    <row r="65" spans="1:21">
      <c r="A65" s="607"/>
      <c r="B65" s="607"/>
      <c r="C65" s="607"/>
      <c r="D65" s="607"/>
      <c r="E65" s="607"/>
      <c r="F65" s="607"/>
      <c r="G65" s="607"/>
      <c r="H65" s="607"/>
      <c r="I65" s="607"/>
      <c r="J65" s="607"/>
      <c r="K65" s="607"/>
      <c r="L65" s="607"/>
      <c r="M65" s="722"/>
      <c r="N65" s="607"/>
      <c r="O65" s="644"/>
      <c r="P65" s="607"/>
      <c r="Q65" s="610"/>
      <c r="R65" s="610"/>
      <c r="S65" s="611"/>
      <c r="T65" s="607"/>
      <c r="U65" s="607"/>
    </row>
    <row r="66" spans="1:21">
      <c r="A66" s="607"/>
      <c r="B66" s="607"/>
      <c r="C66" s="607"/>
      <c r="D66" s="607"/>
      <c r="E66" s="607"/>
      <c r="F66" s="607"/>
      <c r="G66" s="607"/>
      <c r="H66" s="607"/>
      <c r="I66" s="607"/>
      <c r="J66" s="607"/>
      <c r="K66" s="607"/>
      <c r="L66" s="607"/>
      <c r="M66" s="722"/>
      <c r="N66" s="607"/>
      <c r="O66" s="644"/>
      <c r="P66" s="607"/>
      <c r="Q66" s="610"/>
      <c r="R66" s="610"/>
      <c r="S66" s="611"/>
      <c r="T66" s="607"/>
      <c r="U66" s="607"/>
    </row>
    <row r="67" spans="1:21">
      <c r="A67" s="607"/>
      <c r="B67" s="607"/>
      <c r="C67" s="607"/>
      <c r="D67" s="607"/>
      <c r="E67" s="607"/>
      <c r="F67" s="607"/>
      <c r="G67" s="607"/>
      <c r="H67" s="607"/>
      <c r="I67" s="607"/>
      <c r="J67" s="607"/>
      <c r="K67" s="607"/>
      <c r="L67" s="607"/>
      <c r="M67" s="722"/>
      <c r="N67" s="607"/>
      <c r="O67" s="644"/>
      <c r="P67" s="607"/>
      <c r="Q67" s="610"/>
      <c r="R67" s="610"/>
      <c r="S67" s="611"/>
      <c r="T67" s="607"/>
      <c r="U67" s="607"/>
    </row>
    <row r="68" spans="1:21">
      <c r="A68" s="607"/>
      <c r="B68" s="607"/>
      <c r="C68" s="607"/>
      <c r="D68" s="607"/>
      <c r="E68" s="607"/>
      <c r="F68" s="607"/>
      <c r="G68" s="607"/>
      <c r="H68" s="607"/>
      <c r="I68" s="607"/>
      <c r="J68" s="607"/>
      <c r="K68" s="607"/>
      <c r="L68" s="607"/>
      <c r="M68" s="722"/>
      <c r="N68" s="607"/>
      <c r="O68" s="644"/>
      <c r="P68" s="607"/>
      <c r="Q68" s="610"/>
      <c r="R68" s="610"/>
      <c r="S68" s="611"/>
      <c r="T68" s="607"/>
      <c r="U68" s="607"/>
    </row>
    <row r="69" spans="1:21">
      <c r="A69" s="607"/>
      <c r="B69" s="607"/>
      <c r="C69" s="607"/>
      <c r="D69" s="607"/>
      <c r="E69" s="607"/>
      <c r="F69" s="607"/>
      <c r="G69" s="607"/>
      <c r="H69" s="607"/>
      <c r="I69" s="607"/>
      <c r="J69" s="607"/>
      <c r="K69" s="607"/>
      <c r="L69" s="607"/>
      <c r="M69" s="722"/>
      <c r="N69" s="607"/>
      <c r="O69" s="644"/>
      <c r="P69" s="607"/>
      <c r="Q69" s="610"/>
      <c r="R69" s="610"/>
      <c r="S69" s="611"/>
      <c r="T69" s="607"/>
      <c r="U69" s="607"/>
    </row>
    <row r="70" spans="1:21">
      <c r="A70" s="607"/>
      <c r="B70" s="607"/>
      <c r="C70" s="607"/>
      <c r="D70" s="607"/>
      <c r="E70" s="607"/>
      <c r="F70" s="607"/>
      <c r="G70" s="607"/>
      <c r="H70" s="607"/>
      <c r="I70" s="607"/>
      <c r="J70" s="607"/>
      <c r="K70" s="607"/>
      <c r="L70" s="607"/>
      <c r="M70" s="722"/>
      <c r="N70" s="607"/>
      <c r="O70" s="644"/>
      <c r="P70" s="607"/>
      <c r="Q70" s="610"/>
      <c r="R70" s="610"/>
      <c r="S70" s="611"/>
      <c r="T70" s="607"/>
      <c r="U70" s="607"/>
    </row>
    <row r="71" spans="1:21">
      <c r="A71" s="607"/>
      <c r="B71" s="607"/>
      <c r="C71" s="607"/>
      <c r="D71" s="607"/>
      <c r="E71" s="607"/>
      <c r="F71" s="607"/>
      <c r="G71" s="607"/>
      <c r="H71" s="607"/>
      <c r="I71" s="607"/>
      <c r="J71" s="607"/>
      <c r="K71" s="607"/>
      <c r="L71" s="607"/>
      <c r="M71" s="722"/>
      <c r="N71" s="607"/>
      <c r="O71" s="644"/>
      <c r="P71" s="607"/>
      <c r="Q71" s="610"/>
      <c r="R71" s="610"/>
      <c r="S71" s="611"/>
      <c r="T71" s="607"/>
      <c r="U71" s="607"/>
    </row>
    <row r="72" spans="1:21" hidden="1">
      <c r="P72" s="607"/>
      <c r="Q72" s="610"/>
      <c r="R72" s="610"/>
      <c r="S72" s="611"/>
      <c r="T72" s="607"/>
      <c r="U72" s="607"/>
    </row>
    <row r="73" spans="1:21" hidden="1">
      <c r="B73" s="1045"/>
      <c r="C73" s="1045"/>
      <c r="P73" s="607"/>
      <c r="Q73" s="610"/>
      <c r="R73" s="610"/>
      <c r="S73" s="611"/>
      <c r="T73" s="607"/>
      <c r="U73" s="607"/>
    </row>
    <row r="74" spans="1:21" hidden="1">
      <c r="P74" s="607"/>
      <c r="Q74" s="610"/>
      <c r="R74" s="610"/>
      <c r="S74" s="611"/>
      <c r="T74" s="607"/>
      <c r="U74" s="607"/>
    </row>
    <row r="75" spans="1:21" hidden="1">
      <c r="P75" s="607"/>
      <c r="Q75" s="610"/>
      <c r="R75" s="610"/>
      <c r="S75" s="611"/>
      <c r="T75" s="607"/>
      <c r="U75" s="607"/>
    </row>
    <row r="76" spans="1:21" hidden="1">
      <c r="P76" s="607"/>
      <c r="Q76" s="610"/>
      <c r="R76" s="610"/>
      <c r="S76" s="611"/>
      <c r="T76" s="607"/>
      <c r="U76" s="607"/>
    </row>
    <row r="77" spans="1:21" hidden="1">
      <c r="P77" s="607"/>
      <c r="Q77" s="610"/>
      <c r="R77" s="610"/>
      <c r="S77" s="611"/>
      <c r="T77" s="607"/>
      <c r="U77" s="607"/>
    </row>
    <row r="78" spans="1:21" hidden="1">
      <c r="P78" s="607"/>
      <c r="Q78" s="610"/>
      <c r="R78" s="610"/>
      <c r="S78" s="611"/>
      <c r="T78" s="607"/>
      <c r="U78" s="607"/>
    </row>
  </sheetData>
  <sheetProtection algorithmName="SHA-512" hashValue="rVyzTaBlL21eldPeQRGq7u+DJE5odB/EYSUoIk6641BNiFkHKXa8ZX9Y4awn+8m9jM3coGitFWq+SEN/KBSbFA==" saltValue="zLY1himVn+e3mNqLP7fceg==" spinCount="100000" sheet="1" objects="1" scenarios="1" selectLockedCells="1"/>
  <mergeCells count="30">
    <mergeCell ref="D2:J3"/>
    <mergeCell ref="H5:I5"/>
    <mergeCell ref="T43:T44"/>
    <mergeCell ref="P5:U6"/>
    <mergeCell ref="S7:U7"/>
    <mergeCell ref="S8:U8"/>
    <mergeCell ref="T11:U11"/>
    <mergeCell ref="R25:T25"/>
    <mergeCell ref="R24:T24"/>
    <mergeCell ref="R23:T23"/>
    <mergeCell ref="T14:U14"/>
    <mergeCell ref="N12:O12"/>
    <mergeCell ref="N9:O9"/>
    <mergeCell ref="N11:O11"/>
    <mergeCell ref="N8:O8"/>
    <mergeCell ref="I6:J7"/>
    <mergeCell ref="E54:F54"/>
    <mergeCell ref="C13:F15"/>
    <mergeCell ref="H17:M17"/>
    <mergeCell ref="G26:H26"/>
    <mergeCell ref="E26:F26"/>
    <mergeCell ref="G34:H34"/>
    <mergeCell ref="E34:F34"/>
    <mergeCell ref="H16:M16"/>
    <mergeCell ref="T12:U12"/>
    <mergeCell ref="N6:O6"/>
    <mergeCell ref="N7:O7"/>
    <mergeCell ref="N10:O10"/>
    <mergeCell ref="G54:H54"/>
    <mergeCell ref="K9:L9"/>
  </mergeCells>
  <conditionalFormatting sqref="E26">
    <cfRule type="expression" dxfId="3" priority="1">
      <formula>$E$26&lt;NOW()</formula>
    </cfRule>
  </conditionalFormatting>
  <dataValidations count="6">
    <dataValidation allowBlank="1" sqref="I9 B11 I11:J11 F11 F6 F9" xr:uid="{9681EC34-218F-41D3-87D0-0F219BCB16CE}"/>
    <dataValidation allowBlank="1" showInputMessage="1" showErrorMessage="1" promptTitle="Anbefaling" prompt="24-27°_x000a_Dejtemperaturen har meget stor betydning for det endelieg resultat." sqref="T39" xr:uid="{6DC530C5-401F-4925-B10D-670326C66795}"/>
    <dataValidation allowBlank="1" promptTitle="Forslag" prompt="Ca. 4% tørret surdej._x000a_F.eks. Grand Farine Levain eller Caputo Criscito._x000a_" sqref="I9" xr:uid="{5A3625D9-142E-4B9A-9F13-AF24793AB2F6}"/>
    <dataValidation type="list" allowBlank="1" sqref="R8" xr:uid="{B6C75DAE-FD3D-419D-96F6-7971D70C7AD8}">
      <formula1>"11:30,12:00,12:30,13:00,17:00,17:30,18:00,18:30,19:00,19:30"</formula1>
    </dataValidation>
    <dataValidation type="list" showInputMessage="1" showErrorMessage="1" sqref="J9" xr:uid="{FCB01414-795D-43C5-BC0C-EB875D165D22}">
      <formula1>$Z$7:$Z$9</formula1>
    </dataValidation>
    <dataValidation type="list" allowBlank="1" showErrorMessage="1" sqref="R7" xr:uid="{E29BDF5C-2BBB-46AA-8817-367D992E896C}">
      <formula1>"Mandag,Tirsdag,Onsdag,Torsdag,Fredag,Lørdag,Søndag"</formula1>
    </dataValidation>
  </dataValidations>
  <pageMargins left="0.19685039370078741" right="0.19685039370078741" top="0.74803149606299213" bottom="0.74803149606299213" header="0.31496062992125984" footer="0.31496062992125984"/>
  <pageSetup paperSize="9" scale="75"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10C26-2B86-4D9B-8289-B0141B9FB3D1}">
  <sheetPr codeName="Ark6">
    <tabColor theme="0"/>
    <pageSetUpPr fitToPage="1"/>
  </sheetPr>
  <dimension ref="A1:AC70"/>
  <sheetViews>
    <sheetView showGridLines="0" showRowColHeaders="0" zoomScaleNormal="100" workbookViewId="0">
      <pane ySplit="4" topLeftCell="A5" activePane="bottomLeft" state="frozen"/>
      <selection activeCell="U27" sqref="U27"/>
      <selection pane="bottomLeft" activeCell="F7" sqref="F7"/>
    </sheetView>
  </sheetViews>
  <sheetFormatPr defaultColWidth="0" defaultRowHeight="15.75" customHeight="1" zeroHeight="1"/>
  <cols>
    <col min="1" max="1" width="3.5703125" customWidth="1"/>
    <col min="2" max="3" width="7.140625" customWidth="1"/>
    <col min="4" max="4" width="15.7109375" customWidth="1"/>
    <col min="5" max="5" width="15.140625" customWidth="1"/>
    <col min="6" max="6" width="7.140625" customWidth="1"/>
    <col min="7" max="7" width="7.28515625" customWidth="1"/>
    <col min="8" max="8" width="2.85546875" customWidth="1"/>
    <col min="9" max="9" width="10.140625" customWidth="1"/>
    <col min="10" max="10" width="15.42578125" customWidth="1"/>
    <col min="11" max="11" width="4.28515625" customWidth="1"/>
    <col min="12" max="12" width="7.42578125" customWidth="1"/>
    <col min="13" max="13" width="22" customWidth="1"/>
    <col min="14" max="15" width="3.140625" customWidth="1"/>
    <col min="16" max="16" width="6.28515625" customWidth="1"/>
    <col min="17" max="17" width="8" customWidth="1"/>
    <col min="18" max="18" width="17.85546875" customWidth="1"/>
    <col min="19" max="19" width="8.140625" customWidth="1"/>
    <col min="20" max="20" width="8" customWidth="1"/>
    <col min="21" max="21" width="3.5703125" customWidth="1"/>
    <col min="22" max="22" width="4.42578125" customWidth="1"/>
    <col min="23" max="23" width="8.7109375" hidden="1" customWidth="1"/>
    <col min="24" max="24" width="12.85546875" hidden="1" customWidth="1"/>
    <col min="25" max="26" width="9.28515625" hidden="1" customWidth="1"/>
    <col min="27" max="27" width="14.85546875" hidden="1" customWidth="1"/>
    <col min="28" max="29" width="8.7109375" hidden="1" customWidth="1"/>
    <col min="30" max="16384" width="9.140625" hidden="1"/>
  </cols>
  <sheetData>
    <row r="1" spans="1:29" ht="15" customHeight="1">
      <c r="A1" s="660"/>
      <c r="B1" s="660"/>
      <c r="C1" s="661"/>
      <c r="D1" s="661"/>
      <c r="E1" s="661"/>
      <c r="F1" s="661"/>
      <c r="G1" s="661"/>
      <c r="H1" s="661"/>
      <c r="I1" s="661"/>
      <c r="J1" s="661"/>
      <c r="K1" s="661"/>
      <c r="L1" s="660"/>
      <c r="M1" s="660"/>
      <c r="N1" s="5"/>
      <c r="O1" s="5"/>
      <c r="P1" s="5"/>
      <c r="Q1" s="5"/>
      <c r="R1" s="5"/>
      <c r="S1" s="5"/>
      <c r="T1" s="5"/>
      <c r="U1" s="5"/>
      <c r="V1" s="5"/>
    </row>
    <row r="2" spans="1:29" ht="15" customHeight="1">
      <c r="A2" s="660"/>
      <c r="B2" s="660"/>
      <c r="C2" s="1982" t="s">
        <v>1031</v>
      </c>
      <c r="D2" s="1982"/>
      <c r="E2" s="1982"/>
      <c r="F2" s="1982"/>
      <c r="G2" s="1982"/>
      <c r="H2" s="1982"/>
      <c r="I2" s="1982"/>
      <c r="J2" s="1982"/>
      <c r="K2" s="1982"/>
      <c r="L2" s="1982"/>
      <c r="M2" s="660"/>
      <c r="N2" s="5"/>
      <c r="O2" s="5"/>
      <c r="P2" s="5"/>
      <c r="Q2" s="5"/>
      <c r="R2" s="656"/>
      <c r="S2" s="5"/>
      <c r="T2" s="5"/>
      <c r="U2" s="5"/>
      <c r="V2" s="5"/>
    </row>
    <row r="3" spans="1:29" ht="15" customHeight="1">
      <c r="A3" s="660"/>
      <c r="B3" s="660"/>
      <c r="C3" s="1982"/>
      <c r="D3" s="1982"/>
      <c r="E3" s="1982"/>
      <c r="F3" s="1982"/>
      <c r="G3" s="1982"/>
      <c r="H3" s="1982"/>
      <c r="I3" s="1982"/>
      <c r="J3" s="1982"/>
      <c r="K3" s="1982"/>
      <c r="L3" s="1982"/>
      <c r="M3" s="660"/>
      <c r="N3" s="5"/>
      <c r="O3" s="5"/>
      <c r="P3" s="5"/>
      <c r="Q3" s="5"/>
      <c r="R3" s="5"/>
      <c r="S3" s="5"/>
      <c r="T3" s="5"/>
      <c r="U3" s="5"/>
      <c r="V3" s="5"/>
    </row>
    <row r="4" spans="1:29" ht="15" customHeight="1" thickBot="1">
      <c r="A4" s="663"/>
      <c r="B4" s="663"/>
      <c r="C4" s="664" t="s">
        <v>381</v>
      </c>
      <c r="D4" s="665"/>
      <c r="E4" s="665"/>
      <c r="F4" s="665"/>
      <c r="G4" s="665"/>
      <c r="H4" s="665"/>
      <c r="I4" s="665"/>
      <c r="J4" s="665"/>
      <c r="K4" s="665"/>
      <c r="L4" s="663"/>
      <c r="M4" s="663"/>
      <c r="N4" s="657"/>
      <c r="O4" s="1274"/>
      <c r="P4" s="657"/>
      <c r="Q4" s="657"/>
      <c r="R4" s="657"/>
      <c r="S4" s="657"/>
      <c r="T4" s="657"/>
      <c r="U4" s="657"/>
      <c r="V4" s="657"/>
    </row>
    <row r="5" spans="1:29" ht="17.25" thickTop="1" thickBot="1">
      <c r="A5" s="620"/>
      <c r="B5" s="620"/>
      <c r="C5" s="620"/>
      <c r="D5" s="620"/>
      <c r="E5" s="620"/>
      <c r="F5" s="607"/>
      <c r="G5" s="607"/>
      <c r="H5" s="620"/>
      <c r="I5" s="620"/>
      <c r="J5" s="620"/>
      <c r="K5" s="620"/>
      <c r="L5" s="620"/>
      <c r="M5" s="620"/>
      <c r="N5" s="620"/>
      <c r="O5" s="637"/>
      <c r="P5" s="1993" t="s">
        <v>1075</v>
      </c>
      <c r="Q5" s="1994"/>
      <c r="R5" s="1994"/>
      <c r="S5" s="1994"/>
      <c r="T5" s="1994"/>
      <c r="U5" s="1994"/>
      <c r="V5" s="607"/>
    </row>
    <row r="6" spans="1:29" ht="17.25" thickTop="1" thickBot="1">
      <c r="A6" s="620"/>
      <c r="B6" s="706" t="s">
        <v>378</v>
      </c>
      <c r="C6" s="688"/>
      <c r="D6" s="689"/>
      <c r="E6" s="621"/>
      <c r="F6" s="607"/>
      <c r="G6" s="878"/>
      <c r="H6" s="607"/>
      <c r="I6" s="2019" t="s">
        <v>745</v>
      </c>
      <c r="J6" s="2019"/>
      <c r="K6" s="882"/>
      <c r="L6" s="880"/>
      <c r="M6" s="835"/>
      <c r="N6" s="620"/>
      <c r="O6" s="637"/>
      <c r="P6" s="1995"/>
      <c r="Q6" s="1996"/>
      <c r="R6" s="1996"/>
      <c r="S6" s="1996"/>
      <c r="T6" s="1996"/>
      <c r="U6" s="1996"/>
      <c r="V6" s="607"/>
      <c r="X6" s="280" t="s">
        <v>418</v>
      </c>
      <c r="Y6" s="281"/>
      <c r="Z6" s="669"/>
      <c r="AA6" s="43" t="s">
        <v>299</v>
      </c>
      <c r="AB6" s="53" t="s">
        <v>809</v>
      </c>
      <c r="AC6" s="911" t="s">
        <v>756</v>
      </c>
    </row>
    <row r="7" spans="1:29" ht="17.25" thickTop="1" thickBot="1">
      <c r="A7" s="620"/>
      <c r="B7" s="690">
        <v>1</v>
      </c>
      <c r="C7" s="621" t="s">
        <v>374</v>
      </c>
      <c r="D7" s="691"/>
      <c r="E7" s="679" t="s">
        <v>372</v>
      </c>
      <c r="F7" s="337">
        <v>2</v>
      </c>
      <c r="G7" s="879" t="s">
        <v>379</v>
      </c>
      <c r="H7" s="607"/>
      <c r="I7" s="2019"/>
      <c r="J7" s="2019"/>
      <c r="K7" s="882"/>
      <c r="L7" s="880"/>
      <c r="M7" s="724"/>
      <c r="N7" s="2048"/>
      <c r="O7" s="2049"/>
      <c r="P7" s="643"/>
      <c r="Q7" s="623" t="s">
        <v>1060</v>
      </c>
      <c r="R7" s="1621">
        <v>0.72916666666666663</v>
      </c>
      <c r="S7" s="1581" t="s">
        <v>644</v>
      </c>
      <c r="T7" s="1581"/>
      <c r="U7" s="1581"/>
      <c r="V7" s="607"/>
      <c r="X7" s="287">
        <v>1</v>
      </c>
      <c r="Y7" s="288" t="s">
        <v>420</v>
      </c>
      <c r="Z7" s="523"/>
      <c r="AA7" s="44" t="s">
        <v>385</v>
      </c>
      <c r="AB7" s="45" t="s">
        <v>385</v>
      </c>
      <c r="AC7" s="912">
        <v>1</v>
      </c>
    </row>
    <row r="8" spans="1:29" ht="16.5" thickTop="1">
      <c r="A8" s="620"/>
      <c r="B8" s="690">
        <f>IF(F9="Nej",0,0.05)</f>
        <v>0.05</v>
      </c>
      <c r="C8" s="621" t="s">
        <v>384</v>
      </c>
      <c r="D8" s="691"/>
      <c r="E8" s="679" t="s">
        <v>373</v>
      </c>
      <c r="F8" s="344">
        <v>290</v>
      </c>
      <c r="G8" s="879" t="s">
        <v>380</v>
      </c>
      <c r="H8" s="607"/>
      <c r="I8" s="336"/>
      <c r="J8" s="619" t="str">
        <f>C8</f>
        <v>hvedesur</v>
      </c>
      <c r="K8" s="882"/>
      <c r="L8" s="880"/>
      <c r="M8" s="620"/>
      <c r="N8" s="2050"/>
      <c r="O8" s="2051"/>
      <c r="P8" s="643"/>
      <c r="Q8" s="620"/>
      <c r="R8" s="614"/>
      <c r="S8" s="868"/>
      <c r="T8" s="675"/>
      <c r="U8" s="614"/>
      <c r="V8" s="607"/>
      <c r="X8" s="282">
        <f>IF(F9="Nej",0,IF(I8="",B8,I8))</f>
        <v>0.05</v>
      </c>
      <c r="Y8" s="283" t="s">
        <v>384</v>
      </c>
      <c r="Z8" s="522"/>
      <c r="AA8" s="44" t="s">
        <v>810</v>
      </c>
      <c r="AB8" s="45" t="s">
        <v>376</v>
      </c>
      <c r="AC8" s="913">
        <v>4</v>
      </c>
    </row>
    <row r="9" spans="1:29" ht="16.5" thickBot="1">
      <c r="A9" s="620"/>
      <c r="B9" s="690">
        <v>0.72</v>
      </c>
      <c r="C9" s="621" t="s">
        <v>1026</v>
      </c>
      <c r="D9" s="691"/>
      <c r="E9" s="844" t="s">
        <v>383</v>
      </c>
      <c r="F9" s="345" t="s">
        <v>726</v>
      </c>
      <c r="G9" s="879"/>
      <c r="H9" s="607"/>
      <c r="I9" s="874"/>
      <c r="J9" s="619" t="str">
        <f>C9</f>
        <v>hydrering</v>
      </c>
      <c r="K9" s="882"/>
      <c r="L9" s="880"/>
      <c r="M9" s="620"/>
      <c r="N9" s="620"/>
      <c r="O9" s="637"/>
      <c r="P9" s="643"/>
      <c r="Q9" s="620"/>
      <c r="R9" s="614"/>
      <c r="S9" s="868"/>
      <c r="T9" s="675"/>
      <c r="U9" s="614"/>
      <c r="V9" s="607"/>
      <c r="X9" s="284">
        <f>IF(I9="",B9,I9)</f>
        <v>0.72</v>
      </c>
      <c r="Y9" s="285" t="s">
        <v>419</v>
      </c>
      <c r="Z9" s="523"/>
      <c r="AA9" s="44" t="s">
        <v>811</v>
      </c>
      <c r="AB9" s="45" t="s">
        <v>376</v>
      </c>
      <c r="AC9" s="913">
        <v>3</v>
      </c>
    </row>
    <row r="10" spans="1:29" ht="16.149999999999999" customHeight="1" thickTop="1">
      <c r="A10" s="620"/>
      <c r="B10" s="690">
        <v>0.02</v>
      </c>
      <c r="C10" s="621" t="s">
        <v>375</v>
      </c>
      <c r="D10" s="691"/>
      <c r="E10" s="844"/>
      <c r="F10" s="620"/>
      <c r="G10" s="879"/>
      <c r="H10" s="607"/>
      <c r="I10" s="874"/>
      <c r="J10" s="619" t="str">
        <f>C10</f>
        <v>salt</v>
      </c>
      <c r="K10" s="882"/>
      <c r="L10" s="880"/>
      <c r="M10" s="620"/>
      <c r="N10" s="620"/>
      <c r="O10" s="637"/>
      <c r="P10" s="643"/>
      <c r="Q10" s="1583" t="s">
        <v>231</v>
      </c>
      <c r="R10" s="614"/>
      <c r="S10" s="1561">
        <v>1.3888888888888888E-2</v>
      </c>
      <c r="T10" s="813" t="s">
        <v>644</v>
      </c>
      <c r="U10" s="813"/>
      <c r="V10" s="607"/>
      <c r="X10" s="284">
        <f>IF(I10="",B10,I10)</f>
        <v>0.02</v>
      </c>
      <c r="Y10" s="286" t="s">
        <v>375</v>
      </c>
      <c r="Z10" s="524"/>
      <c r="AA10" s="44" t="s">
        <v>805</v>
      </c>
      <c r="AB10" s="45" t="s">
        <v>808</v>
      </c>
      <c r="AC10" s="914">
        <v>3</v>
      </c>
    </row>
    <row r="11" spans="1:29" ht="16.149999999999999" customHeight="1" thickBot="1">
      <c r="A11" s="620"/>
      <c r="B11" s="717">
        <v>6.0000000000000001E-3</v>
      </c>
      <c r="C11" s="718" t="s">
        <v>385</v>
      </c>
      <c r="D11" s="719"/>
      <c r="E11" s="679" t="s">
        <v>382</v>
      </c>
      <c r="F11" s="677">
        <f>F7*F8</f>
        <v>580</v>
      </c>
      <c r="G11" s="879" t="s">
        <v>369</v>
      </c>
      <c r="H11" s="607"/>
      <c r="I11" s="875"/>
      <c r="J11" s="822" t="s">
        <v>385</v>
      </c>
      <c r="K11" s="2054">
        <f>IF(J11&lt;&gt;"tørgær",X11,IF(I11="",B11,""))</f>
        <v>6.0000000000000001E-3</v>
      </c>
      <c r="L11" s="2055"/>
      <c r="M11" s="620"/>
      <c r="N11" s="620"/>
      <c r="O11" s="637"/>
      <c r="P11" s="643"/>
      <c r="Q11" s="623" t="s">
        <v>1080</v>
      </c>
      <c r="R11" s="1544"/>
      <c r="S11" s="1561">
        <v>0.11805555555555557</v>
      </c>
      <c r="T11" s="813" t="s">
        <v>644</v>
      </c>
      <c r="U11" s="813"/>
      <c r="V11" s="607"/>
      <c r="X11" s="284">
        <f>IF(J11="tørgær",IF(I11="",B11,I11),IF(I11="",B11,I11)*AC11)</f>
        <v>6.0000000000000001E-3</v>
      </c>
      <c r="Y11" s="286" t="str">
        <f>AB11</f>
        <v>tørgær</v>
      </c>
      <c r="Z11" s="524"/>
      <c r="AA11" s="909" t="s">
        <v>764</v>
      </c>
      <c r="AB11" s="910" t="str">
        <f>VLOOKUP(J11,AA7:AB10,2,FALSE)</f>
        <v>tørgær</v>
      </c>
      <c r="AC11" s="921">
        <f>VLOOKUP(J11,AA7:AC10,3,FALSE)</f>
        <v>1</v>
      </c>
    </row>
    <row r="12" spans="1:29" ht="16.5" thickBot="1">
      <c r="A12" s="620"/>
      <c r="B12" s="885"/>
      <c r="C12" s="886"/>
      <c r="D12" s="886"/>
      <c r="E12" s="886"/>
      <c r="F12" s="886"/>
      <c r="G12" s="887"/>
      <c r="H12" s="886"/>
      <c r="I12" s="886"/>
      <c r="J12" s="886"/>
      <c r="K12" s="888"/>
      <c r="L12" s="889"/>
      <c r="M12" s="886"/>
      <c r="N12" s="886"/>
      <c r="O12" s="637"/>
      <c r="P12" s="643"/>
      <c r="Q12" s="623" t="s">
        <v>1085</v>
      </c>
      <c r="R12" s="1544"/>
      <c r="S12" s="1580">
        <v>2.0833333333333332E-2</v>
      </c>
      <c r="T12" s="813" t="s">
        <v>644</v>
      </c>
      <c r="U12" s="813"/>
      <c r="V12" s="607"/>
      <c r="Z12" s="5"/>
    </row>
    <row r="13" spans="1:29">
      <c r="A13" s="620"/>
      <c r="B13" s="2052" t="s">
        <v>767</v>
      </c>
      <c r="C13" s="2052"/>
      <c r="D13" s="620"/>
      <c r="E13" s="620"/>
      <c r="F13" s="620"/>
      <c r="G13" s="881"/>
      <c r="H13" s="620"/>
      <c r="I13" s="620"/>
      <c r="J13" s="620"/>
      <c r="K13" s="631"/>
      <c r="L13" s="632"/>
      <c r="M13" s="620"/>
      <c r="N13" s="620"/>
      <c r="O13" s="637"/>
      <c r="P13" s="643"/>
      <c r="Q13" s="623" t="s">
        <v>1084</v>
      </c>
      <c r="R13" s="610"/>
      <c r="S13" s="1579">
        <v>8.3333333333333329E-2</v>
      </c>
      <c r="T13" s="813" t="s">
        <v>644</v>
      </c>
      <c r="U13" s="607"/>
      <c r="V13" s="607"/>
    </row>
    <row r="14" spans="1:29" ht="15.75" customHeight="1">
      <c r="A14" s="620"/>
      <c r="B14" s="2053"/>
      <c r="C14" s="2053"/>
      <c r="D14" s="2047" t="s">
        <v>768</v>
      </c>
      <c r="E14" s="1258" t="s">
        <v>765</v>
      </c>
      <c r="F14" s="194">
        <v>20</v>
      </c>
      <c r="G14" s="723" t="s">
        <v>370</v>
      </c>
      <c r="H14" s="620"/>
      <c r="I14" s="882"/>
      <c r="J14" s="882"/>
      <c r="K14" s="882"/>
      <c r="L14" s="882"/>
      <c r="M14" s="882"/>
      <c r="N14" s="882"/>
      <c r="O14" s="637"/>
      <c r="P14" s="643"/>
      <c r="Q14" s="610"/>
      <c r="R14" s="1544"/>
      <c r="S14" s="1545"/>
      <c r="T14" s="813"/>
      <c r="U14" s="813"/>
      <c r="V14" s="607"/>
    </row>
    <row r="15" spans="1:29" ht="15" customHeight="1" thickBot="1">
      <c r="A15" s="607"/>
      <c r="B15" s="2053"/>
      <c r="C15" s="2053"/>
      <c r="D15" s="2047"/>
      <c r="E15" s="1258" t="s">
        <v>766</v>
      </c>
      <c r="F15" s="721">
        <v>25</v>
      </c>
      <c r="G15" s="723" t="s">
        <v>370</v>
      </c>
      <c r="H15" s="883"/>
      <c r="I15" s="883"/>
      <c r="J15" s="883"/>
      <c r="K15" s="883"/>
      <c r="L15" s="883"/>
      <c r="M15" s="882"/>
      <c r="N15" s="882"/>
      <c r="O15" s="644"/>
      <c r="P15" s="643"/>
      <c r="Q15" s="1569" t="s">
        <v>1073</v>
      </c>
      <c r="R15" s="1570"/>
      <c r="S15" s="1568">
        <f>SUM(S10:S13)</f>
        <v>0.2361111111111111</v>
      </c>
      <c r="T15" s="1571" t="s">
        <v>644</v>
      </c>
      <c r="U15" s="813"/>
      <c r="V15" s="607"/>
    </row>
    <row r="16" spans="1:29" ht="18" customHeight="1">
      <c r="A16" s="607"/>
      <c r="B16" s="2053"/>
      <c r="C16" s="2053"/>
      <c r="D16" s="2047"/>
      <c r="E16" s="607"/>
      <c r="F16" s="884">
        <f>ROUND((F14*F15)*0.579,0)</f>
        <v>290</v>
      </c>
      <c r="G16" s="608"/>
      <c r="H16" s="883"/>
      <c r="I16" s="883"/>
      <c r="J16" s="883"/>
      <c r="K16" s="883"/>
      <c r="L16" s="883"/>
      <c r="M16" s="882"/>
      <c r="N16" s="882"/>
      <c r="O16" s="644"/>
      <c r="P16" s="643"/>
      <c r="Q16" s="1584"/>
      <c r="R16" s="1577"/>
      <c r="S16" s="1545"/>
      <c r="T16" s="1585"/>
      <c r="U16" s="813"/>
      <c r="V16" s="607"/>
    </row>
    <row r="17" spans="1:22" ht="15" customHeight="1">
      <c r="A17" s="607"/>
      <c r="B17" s="607"/>
      <c r="C17" s="607"/>
      <c r="D17" s="607"/>
      <c r="E17" s="607"/>
      <c r="F17" s="607"/>
      <c r="G17" s="607"/>
      <c r="H17" s="607"/>
      <c r="I17" s="607"/>
      <c r="J17" s="714"/>
      <c r="K17" s="715"/>
      <c r="L17" s="607"/>
      <c r="M17" s="607"/>
      <c r="N17" s="716"/>
      <c r="O17" s="644"/>
      <c r="P17" s="643"/>
      <c r="Q17" s="1586" t="s">
        <v>1081</v>
      </c>
      <c r="R17" s="1922">
        <f ca="1">IF(R7="","?",TODAY()-S15+R7)-IF((S12)&gt;TIME(3,0,0),1/24,0)</f>
        <v>45921.493055555555</v>
      </c>
      <c r="S17" s="1922"/>
      <c r="T17" s="1922"/>
      <c r="U17" s="607"/>
      <c r="V17" s="607"/>
    </row>
    <row r="18" spans="1:22" ht="21" customHeight="1">
      <c r="A18" s="607"/>
      <c r="B18" s="1361"/>
      <c r="C18" s="2063" t="str">
        <f>C2</f>
        <v>Bagerkokkens Detroit style pizza</v>
      </c>
      <c r="D18" s="2063"/>
      <c r="E18" s="2063"/>
      <c r="F18" s="2063"/>
      <c r="G18" s="2063"/>
      <c r="H18" s="2063"/>
      <c r="I18" s="1362"/>
      <c r="J18" s="74"/>
      <c r="K18" s="74"/>
      <c r="L18" s="74"/>
      <c r="M18" s="74"/>
      <c r="N18" s="49"/>
      <c r="O18" s="644"/>
      <c r="P18" s="607"/>
      <c r="Q18" s="610"/>
      <c r="R18" s="607"/>
      <c r="S18" s="607"/>
      <c r="T18" s="607"/>
      <c r="U18" s="607"/>
      <c r="V18" s="607"/>
    </row>
    <row r="19" spans="1:22" ht="17.25" customHeight="1" thickBot="1">
      <c r="A19" s="607"/>
      <c r="B19" s="1363"/>
      <c r="C19" s="2064"/>
      <c r="D19" s="2064"/>
      <c r="E19" s="2064"/>
      <c r="F19" s="2064"/>
      <c r="G19" s="2064"/>
      <c r="H19" s="2064"/>
      <c r="I19" s="1381"/>
      <c r="N19" s="6"/>
      <c r="O19" s="644"/>
      <c r="P19" s="652"/>
      <c r="Q19" s="696"/>
      <c r="R19" s="696"/>
      <c r="S19" s="654"/>
      <c r="T19" s="1540"/>
      <c r="U19" s="1540"/>
      <c r="V19" s="607"/>
    </row>
    <row r="20" spans="1:22" ht="17.25" customHeight="1">
      <c r="A20" s="607"/>
      <c r="B20" s="1363"/>
      <c r="C20" s="2064"/>
      <c r="D20" s="2064"/>
      <c r="E20" s="2064"/>
      <c r="F20" s="2064"/>
      <c r="G20" s="2064"/>
      <c r="H20" s="2064"/>
      <c r="I20" s="1381"/>
      <c r="N20" s="6"/>
      <c r="O20" s="644"/>
      <c r="P20" s="607"/>
      <c r="Q20" s="610"/>
      <c r="R20" s="610"/>
      <c r="S20" s="611"/>
      <c r="T20" s="607"/>
      <c r="U20" s="607"/>
      <c r="V20" s="607"/>
    </row>
    <row r="21" spans="1:22" ht="15" customHeight="1">
      <c r="A21" s="607"/>
      <c r="B21" s="1386" t="s">
        <v>746</v>
      </c>
      <c r="C21" s="5" t="s">
        <v>1033</v>
      </c>
      <c r="E21" s="105"/>
      <c r="F21" s="105"/>
      <c r="G21" s="105"/>
      <c r="H21" s="105"/>
      <c r="I21" s="105"/>
      <c r="J21" s="2057" t="s">
        <v>1041</v>
      </c>
      <c r="K21" s="2058"/>
      <c r="L21" s="2058"/>
      <c r="M21" s="2059"/>
      <c r="N21" s="758"/>
      <c r="O21" s="644"/>
      <c r="P21" s="643"/>
      <c r="Q21" s="610"/>
      <c r="R21" s="610"/>
      <c r="S21" s="611"/>
      <c r="T21" s="607"/>
      <c r="U21" s="607"/>
      <c r="V21" s="607"/>
    </row>
    <row r="22" spans="1:22" ht="15" customHeight="1">
      <c r="A22" s="607"/>
      <c r="B22" s="1386"/>
      <c r="C22" s="5" t="s">
        <v>1032</v>
      </c>
      <c r="E22" s="105"/>
      <c r="F22" s="105"/>
      <c r="G22" s="105"/>
      <c r="H22" s="105"/>
      <c r="I22" s="105"/>
      <c r="J22" s="2060" t="str">
        <f>F7&amp;" pizzaer a "&amp;ROUND(F8,0)&amp;" g.  -  "&amp;ROUND(X9*100,0)&amp;"% hydrering"</f>
        <v>2 pizzaer a 290 g.  -  72% hydrering</v>
      </c>
      <c r="K22" s="2061"/>
      <c r="L22" s="2061"/>
      <c r="M22" s="2062"/>
      <c r="N22" s="758"/>
      <c r="O22" s="644"/>
      <c r="P22" s="643"/>
      <c r="Q22" s="674" t="s">
        <v>358</v>
      </c>
      <c r="R22" s="616"/>
      <c r="S22" s="613"/>
      <c r="T22" s="607"/>
      <c r="U22" s="1548"/>
      <c r="V22" s="607"/>
    </row>
    <row r="23" spans="1:22">
      <c r="A23" s="607"/>
      <c r="B23" s="1386" t="str">
        <f>IF(F16="","","*")</f>
        <v>*</v>
      </c>
      <c r="C23" t="s">
        <v>1038</v>
      </c>
      <c r="E23" s="105"/>
      <c r="F23" s="105"/>
      <c r="G23" s="105"/>
      <c r="H23" s="105"/>
      <c r="I23" s="105"/>
      <c r="J23" s="1374">
        <f>F11*(X7/SUM(X7:X11))</f>
        <v>322.93986636971044</v>
      </c>
      <c r="K23" s="248" t="s">
        <v>12</v>
      </c>
      <c r="M23" s="1754">
        <f>X7</f>
        <v>1</v>
      </c>
      <c r="N23" s="758"/>
      <c r="O23" s="644"/>
      <c r="P23" s="643"/>
      <c r="Q23" s="610" t="s">
        <v>353</v>
      </c>
      <c r="R23" s="617"/>
      <c r="S23" s="607"/>
      <c r="T23" s="1541"/>
      <c r="U23" s="1541"/>
      <c r="V23" s="607"/>
    </row>
    <row r="24" spans="1:22">
      <c r="A24" s="607"/>
      <c r="B24" s="1386" t="str">
        <f>IF(F17="","","*")</f>
        <v/>
      </c>
      <c r="C24" s="105" t="s">
        <v>1040</v>
      </c>
      <c r="E24" s="105"/>
      <c r="F24" s="105"/>
      <c r="G24" s="105"/>
      <c r="H24" s="105"/>
      <c r="I24" s="105"/>
      <c r="J24" s="1375">
        <f>IF(F9="Ja",F11*(X8/SUM(X7:X11)),"-")</f>
        <v>16.146993318485524</v>
      </c>
      <c r="K24" s="248" t="str">
        <f>IF(F9="Ja","g hvedesur","-")</f>
        <v>g hvedesur</v>
      </c>
      <c r="M24" s="1753">
        <f>X8</f>
        <v>0.05</v>
      </c>
      <c r="N24" s="758"/>
      <c r="O24" s="644"/>
      <c r="P24" s="607"/>
      <c r="Q24" s="610" t="s">
        <v>367</v>
      </c>
      <c r="R24" s="617"/>
      <c r="S24" s="607"/>
      <c r="T24" s="1541"/>
      <c r="U24" s="607"/>
      <c r="V24" s="607"/>
    </row>
    <row r="25" spans="1:22">
      <c r="A25" s="607"/>
      <c r="B25" s="1386" t="str">
        <f>IF(F18="","","*")</f>
        <v/>
      </c>
      <c r="C25" s="851" t="s">
        <v>1039</v>
      </c>
      <c r="E25" s="105"/>
      <c r="F25" s="105"/>
      <c r="G25" s="105"/>
      <c r="H25" s="105"/>
      <c r="I25" s="105"/>
      <c r="J25" s="1374">
        <f>F11*(X9/SUM(X7:X11))</f>
        <v>232.51670378619153</v>
      </c>
      <c r="K25" s="248" t="s">
        <v>444</v>
      </c>
      <c r="M25" s="1754">
        <f>X9</f>
        <v>0.72</v>
      </c>
      <c r="N25" s="758"/>
      <c r="O25" s="644"/>
      <c r="P25" s="607"/>
      <c r="Q25" s="610" t="s">
        <v>359</v>
      </c>
      <c r="R25" s="607"/>
      <c r="S25" s="607"/>
      <c r="T25" s="607"/>
      <c r="U25" s="607"/>
      <c r="V25" s="607"/>
    </row>
    <row r="26" spans="1:22">
      <c r="A26" s="607"/>
      <c r="B26" s="1386" t="str">
        <f>IF(OR(F15="",F8&lt;&gt;F16),"","*")</f>
        <v>*</v>
      </c>
      <c r="C26" t="str">
        <f>IF(OR(F15="",F8&lt;&gt;F16),"","De "&amp;ROUND(F16,0)&amp;" g dej passer til en bradepande på "&amp;F14&amp;"x"&amp;F15&amp;" cm.")</f>
        <v>De 290 g dej passer til en bradepande på 20x25 cm.</v>
      </c>
      <c r="I26" s="105"/>
      <c r="J26" s="1374">
        <f>$F$11*(X10/SUM(X7:X11))</f>
        <v>6.4587973273942092</v>
      </c>
      <c r="K26" s="248" t="s">
        <v>29</v>
      </c>
      <c r="M26" s="1754">
        <f>X10</f>
        <v>0.02</v>
      </c>
      <c r="N26" s="758"/>
      <c r="O26" s="644"/>
      <c r="P26" s="607"/>
      <c r="Q26" s="608" t="s">
        <v>360</v>
      </c>
      <c r="R26" s="607"/>
      <c r="S26" s="607"/>
      <c r="T26" s="607"/>
      <c r="U26" s="607"/>
      <c r="V26" s="607"/>
    </row>
    <row r="27" spans="1:22">
      <c r="A27" s="607"/>
      <c r="B27" s="44"/>
      <c r="H27" s="105"/>
      <c r="I27" s="105"/>
      <c r="J27" s="1376">
        <f>$F$11*(X11/SUM(X7:X11))</f>
        <v>1.9376391982182628</v>
      </c>
      <c r="K27" s="832" t="str">
        <f>"g "&amp;AB11</f>
        <v>g tørgær</v>
      </c>
      <c r="L27" s="82"/>
      <c r="M27" s="1770">
        <f>X11</f>
        <v>6.0000000000000001E-3</v>
      </c>
      <c r="N27" s="758"/>
      <c r="O27" s="644"/>
      <c r="P27" s="607"/>
      <c r="Q27" s="610" t="s">
        <v>354</v>
      </c>
      <c r="R27" s="617"/>
      <c r="S27" s="607"/>
      <c r="T27" s="607"/>
      <c r="U27" s="607"/>
      <c r="V27" s="607"/>
    </row>
    <row r="28" spans="1:22" ht="15">
      <c r="A28" s="607"/>
      <c r="B28" s="44"/>
      <c r="N28" s="45"/>
      <c r="O28" s="644"/>
      <c r="P28" s="607"/>
      <c r="Q28" s="610" t="s">
        <v>356</v>
      </c>
      <c r="R28" s="617"/>
      <c r="S28" s="607"/>
      <c r="T28" s="607"/>
      <c r="U28" s="607"/>
      <c r="V28" s="607"/>
    </row>
    <row r="29" spans="1:22" ht="15.75" customHeight="1">
      <c r="A29" s="607"/>
      <c r="B29" s="1379" t="s">
        <v>1035</v>
      </c>
      <c r="C29" s="82"/>
      <c r="D29" s="1666" t="s">
        <v>1158</v>
      </c>
      <c r="E29" s="82"/>
      <c r="F29" s="1634"/>
      <c r="G29" s="82"/>
      <c r="H29" s="82"/>
      <c r="I29" s="82"/>
      <c r="J29" s="82"/>
      <c r="K29" s="2037"/>
      <c r="L29" s="2037"/>
      <c r="M29" s="1796">
        <f ca="1">IF($R$7="","",R17)</f>
        <v>45921.493055555555</v>
      </c>
      <c r="N29" s="1635"/>
      <c r="O29" s="644"/>
      <c r="P29" s="607"/>
      <c r="Q29" s="610"/>
      <c r="R29" s="617"/>
      <c r="S29" s="607"/>
      <c r="T29" s="607"/>
      <c r="U29" s="607"/>
      <c r="V29" s="607"/>
    </row>
    <row r="30" spans="1:22" ht="15.75" customHeight="1">
      <c r="A30" s="607"/>
      <c r="B30" s="44"/>
      <c r="N30" s="758"/>
      <c r="O30" s="644"/>
      <c r="P30" s="607"/>
      <c r="Q30" s="615" t="s">
        <v>361</v>
      </c>
      <c r="R30" s="618"/>
      <c r="S30" s="607"/>
      <c r="T30" s="607"/>
      <c r="U30" s="607"/>
      <c r="V30" s="607"/>
    </row>
    <row r="31" spans="1:22" ht="16.5" customHeight="1">
      <c r="A31" s="607"/>
      <c r="B31" s="1378" t="s">
        <v>1034</v>
      </c>
      <c r="C31" s="1382">
        <v>1</v>
      </c>
      <c r="D31" s="105" t="str">
        <f>IF(F9="Ja","Vand, mel og hvedesur røres let sammen.","Vand og mel røres let sammen.")</f>
        <v>Vand, mel og hvedesur røres let sammen.</v>
      </c>
      <c r="E31" s="105"/>
      <c r="F31" s="105"/>
      <c r="G31" s="105"/>
      <c r="H31" s="105"/>
      <c r="I31" s="105"/>
      <c r="L31" s="2065" t="str">
        <f>ROUND(J23,0)&amp;" g. mel, "&amp;IF(F9="Nej","",ROUND(J24,0)&amp;" g. hvedesur,      ")&amp;ROUND(J25,0)&amp;" g. vand"</f>
        <v>323 g. mel, 16 g. hvedesur,      233 g. vand</v>
      </c>
      <c r="M31" s="2066"/>
      <c r="N31" s="758"/>
      <c r="O31" s="644"/>
      <c r="P31" s="607"/>
      <c r="Q31" s="610" t="s">
        <v>338</v>
      </c>
      <c r="R31" s="607"/>
      <c r="S31" s="192">
        <v>25</v>
      </c>
      <c r="T31" s="607"/>
      <c r="U31" s="607"/>
      <c r="V31" s="607"/>
    </row>
    <row r="32" spans="1:22" ht="16.5" customHeight="1">
      <c r="A32" s="607"/>
      <c r="B32" s="44"/>
      <c r="L32" s="2067"/>
      <c r="M32" s="2068"/>
      <c r="N32" s="1364"/>
      <c r="O32" s="644"/>
      <c r="P32" s="607"/>
      <c r="Q32" s="645" t="s">
        <v>339</v>
      </c>
      <c r="R32" s="607"/>
      <c r="S32" s="190"/>
      <c r="T32" s="607"/>
      <c r="U32" s="607"/>
      <c r="V32" s="607"/>
    </row>
    <row r="33" spans="1:22" ht="16.5" customHeight="1">
      <c r="A33" s="607"/>
      <c r="B33" s="1378" t="s">
        <v>1034</v>
      </c>
      <c r="C33" s="1382">
        <v>2</v>
      </c>
      <c r="D33" s="105" t="s">
        <v>732</v>
      </c>
      <c r="E33" s="105"/>
      <c r="F33" s="105"/>
      <c r="G33" s="105"/>
      <c r="H33" s="105"/>
      <c r="I33" s="105"/>
      <c r="J33" s="861"/>
      <c r="K33" s="425"/>
      <c r="L33" s="425"/>
      <c r="M33" s="425"/>
      <c r="N33" s="1364"/>
      <c r="O33" s="644"/>
      <c r="P33" s="607"/>
      <c r="Q33" s="645" t="s">
        <v>340</v>
      </c>
      <c r="R33" s="607"/>
      <c r="S33" s="190"/>
      <c r="T33" s="607"/>
      <c r="U33" s="607"/>
      <c r="V33" s="607"/>
    </row>
    <row r="34" spans="1:22" ht="16.5" customHeight="1">
      <c r="A34" s="607"/>
      <c r="B34" s="44"/>
      <c r="N34" s="1364"/>
      <c r="O34" s="644"/>
      <c r="P34" s="607"/>
      <c r="Q34" s="612" t="s">
        <v>341</v>
      </c>
      <c r="R34" s="613"/>
      <c r="S34" s="191"/>
      <c r="T34" s="607"/>
      <c r="U34" s="607"/>
      <c r="V34" s="607"/>
    </row>
    <row r="35" spans="1:22" s="193" customFormat="1" ht="16.5" customHeight="1">
      <c r="A35" s="607"/>
      <c r="B35" s="1378" t="s">
        <v>1034</v>
      </c>
      <c r="C35" s="1382">
        <v>3</v>
      </c>
      <c r="D35" s="105" t="s">
        <v>763</v>
      </c>
      <c r="E35" s="105"/>
      <c r="F35" s="105"/>
      <c r="G35" s="105"/>
      <c r="H35" s="105"/>
      <c r="I35" s="105"/>
      <c r="J35"/>
      <c r="K35" s="1383"/>
      <c r="L35" s="1380" t="str">
        <f>ROUND(J26,0)&amp;" g. salt, "&amp;ROUND(J27,1)&amp;" "&amp;K27</f>
        <v>6 g. salt, 1,9 g tørgær</v>
      </c>
      <c r="M35" s="534"/>
      <c r="N35" s="1364"/>
      <c r="O35" s="644"/>
      <c r="P35" s="607"/>
      <c r="Q35" s="645" t="s">
        <v>342</v>
      </c>
      <c r="R35" s="607"/>
      <c r="S35" s="1552" t="str">
        <f>IF(OR(S31="",S32=""),"",(S31*2)-S32-S33-(S34*2)&amp;"°")</f>
        <v/>
      </c>
      <c r="T35" s="607"/>
      <c r="U35" s="607"/>
      <c r="V35" s="713"/>
    </row>
    <row r="36" spans="1:22" ht="16.5" customHeight="1">
      <c r="A36" s="607"/>
      <c r="B36" s="44"/>
      <c r="N36" s="1364"/>
      <c r="O36" s="644"/>
      <c r="P36" s="713"/>
      <c r="Q36" s="647" t="s">
        <v>343</v>
      </c>
      <c r="R36" s="695"/>
      <c r="S36" s="695"/>
      <c r="T36" s="607"/>
      <c r="U36" s="607"/>
      <c r="V36" s="607"/>
    </row>
    <row r="37" spans="1:22" ht="16.5" customHeight="1">
      <c r="A37" s="607"/>
      <c r="B37" s="1378" t="s">
        <v>1034</v>
      </c>
      <c r="C37" s="1382">
        <v>4</v>
      </c>
      <c r="D37" s="105" t="s">
        <v>350</v>
      </c>
      <c r="E37" s="105"/>
      <c r="F37" s="105"/>
      <c r="G37" s="105"/>
      <c r="H37" s="105"/>
      <c r="I37" s="105"/>
      <c r="J37" s="425"/>
      <c r="K37" s="861"/>
      <c r="L37" s="425"/>
      <c r="M37" s="425"/>
      <c r="N37" s="1364"/>
      <c r="O37" s="644"/>
      <c r="P37" s="607"/>
      <c r="Q37" s="608"/>
      <c r="R37" s="608"/>
      <c r="S37" s="608"/>
      <c r="T37" s="607"/>
      <c r="U37" s="607"/>
      <c r="V37" s="607"/>
    </row>
    <row r="38" spans="1:22" ht="16.5" customHeight="1">
      <c r="A38" s="607"/>
      <c r="B38" s="44"/>
      <c r="C38" s="193"/>
      <c r="D38" s="193"/>
      <c r="E38" s="193"/>
      <c r="F38" s="193"/>
      <c r="G38" s="193"/>
      <c r="H38" s="193"/>
      <c r="I38" s="193"/>
      <c r="J38" s="193"/>
      <c r="K38" s="193"/>
      <c r="L38" s="193"/>
      <c r="M38" s="193"/>
      <c r="N38" s="1364"/>
      <c r="O38" s="644"/>
      <c r="P38" s="607"/>
      <c r="Q38" s="609" t="s">
        <v>362</v>
      </c>
      <c r="R38" s="609"/>
      <c r="S38" s="697"/>
      <c r="T38" s="607"/>
      <c r="U38" s="607"/>
      <c r="V38" s="607"/>
    </row>
    <row r="39" spans="1:22" ht="16.5" customHeight="1">
      <c r="A39" s="607"/>
      <c r="B39" s="1378" t="s">
        <v>1034</v>
      </c>
      <c r="C39" s="1382">
        <v>5</v>
      </c>
      <c r="D39" s="105" t="s">
        <v>845</v>
      </c>
      <c r="E39" s="105"/>
      <c r="F39" s="105"/>
      <c r="G39" s="105"/>
      <c r="H39" s="105"/>
      <c r="I39" s="105"/>
      <c r="J39" s="425"/>
      <c r="K39" s="425"/>
      <c r="L39" s="425"/>
      <c r="M39" s="425"/>
      <c r="N39" s="1364"/>
      <c r="O39" s="644"/>
      <c r="P39" s="607"/>
      <c r="Q39" s="610" t="s">
        <v>364</v>
      </c>
      <c r="R39" s="608"/>
      <c r="S39" s="608"/>
      <c r="T39" s="607"/>
      <c r="U39" s="607"/>
      <c r="V39" s="607"/>
    </row>
    <row r="40" spans="1:22" ht="16.5" customHeight="1">
      <c r="A40" s="607"/>
      <c r="B40" s="44"/>
      <c r="N40" s="1364"/>
      <c r="O40" s="644"/>
      <c r="P40" s="607"/>
      <c r="Q40" s="610" t="s">
        <v>363</v>
      </c>
      <c r="R40" s="608"/>
      <c r="S40" s="608"/>
      <c r="T40" s="607"/>
      <c r="U40" s="607"/>
      <c r="V40" s="607"/>
    </row>
    <row r="41" spans="1:22" ht="16.5" customHeight="1">
      <c r="A41" s="607"/>
      <c r="B41" s="1378" t="s">
        <v>1034</v>
      </c>
      <c r="C41" s="1382">
        <v>6</v>
      </c>
      <c r="D41" s="105" t="s">
        <v>352</v>
      </c>
      <c r="E41" s="105"/>
      <c r="F41" s="105"/>
      <c r="G41" s="105"/>
      <c r="H41" s="105"/>
      <c r="I41" s="105"/>
      <c r="J41" s="425"/>
      <c r="K41" s="425"/>
      <c r="L41" s="425"/>
      <c r="M41" s="425"/>
      <c r="N41" s="1364"/>
      <c r="O41" s="644"/>
      <c r="P41" s="607"/>
      <c r="Q41" s="651" t="s">
        <v>365</v>
      </c>
      <c r="R41" s="608"/>
      <c r="S41" s="607"/>
      <c r="T41" s="607"/>
      <c r="U41" s="607"/>
      <c r="V41" s="607"/>
    </row>
    <row r="42" spans="1:22" ht="16.5" customHeight="1">
      <c r="A42" s="607"/>
      <c r="B42" s="44"/>
      <c r="C42" s="1382"/>
      <c r="D42" s="105" t="s">
        <v>486</v>
      </c>
      <c r="E42" s="105"/>
      <c r="F42" s="105"/>
      <c r="G42" s="105"/>
      <c r="H42" s="105"/>
      <c r="I42" s="105"/>
      <c r="J42" s="425"/>
      <c r="K42" s="425"/>
      <c r="L42" s="425"/>
      <c r="M42" s="425"/>
      <c r="N42" s="1364"/>
      <c r="O42" s="644"/>
      <c r="P42" s="607"/>
      <c r="Q42" s="608" t="s">
        <v>474</v>
      </c>
      <c r="R42" s="611"/>
      <c r="S42" s="607"/>
      <c r="T42" s="607"/>
      <c r="U42" s="607"/>
      <c r="V42" s="607"/>
    </row>
    <row r="43" spans="1:22" ht="16.5" customHeight="1">
      <c r="A43" s="607"/>
      <c r="B43" s="44"/>
      <c r="N43" s="1364"/>
      <c r="O43" s="644"/>
      <c r="P43" s="607"/>
      <c r="Q43" s="608" t="s">
        <v>366</v>
      </c>
      <c r="R43" s="611"/>
      <c r="S43" s="607"/>
      <c r="T43" s="607"/>
      <c r="U43" s="607"/>
      <c r="V43" s="607"/>
    </row>
    <row r="44" spans="1:22" ht="16.5" customHeight="1">
      <c r="A44" s="607"/>
      <c r="B44" s="1378" t="s">
        <v>1034</v>
      </c>
      <c r="C44" s="1382">
        <v>7</v>
      </c>
      <c r="D44" s="105" t="s">
        <v>345</v>
      </c>
      <c r="E44" s="105"/>
      <c r="F44" s="105"/>
      <c r="G44" s="105"/>
      <c r="H44" s="105"/>
      <c r="I44" s="105"/>
      <c r="J44" s="425"/>
      <c r="K44" s="425"/>
      <c r="L44" s="425"/>
      <c r="M44" s="425"/>
      <c r="N44" s="1364"/>
      <c r="O44" s="644"/>
      <c r="P44" s="607"/>
      <c r="Q44" s="608"/>
      <c r="R44" s="607"/>
      <c r="S44" s="607"/>
      <c r="T44" s="607"/>
      <c r="U44" s="607"/>
      <c r="V44" s="607"/>
    </row>
    <row r="45" spans="1:22" ht="16.5" customHeight="1">
      <c r="A45" s="607"/>
      <c r="B45" s="44"/>
      <c r="N45" s="1364"/>
      <c r="O45" s="644"/>
      <c r="P45" s="607"/>
      <c r="Q45" s="608"/>
      <c r="R45" s="607"/>
      <c r="S45" s="607"/>
      <c r="T45" s="607"/>
      <c r="U45" s="607"/>
      <c r="V45" s="607"/>
    </row>
    <row r="46" spans="1:22" ht="16.5" customHeight="1">
      <c r="A46" s="607"/>
      <c r="B46" s="1378" t="s">
        <v>1034</v>
      </c>
      <c r="C46" s="1382">
        <v>8</v>
      </c>
      <c r="D46" s="105" t="str">
        <f>IF(F7=1,"Placer dejen i en olieret bakke","Del dejen i "&amp;F7&amp;" klumper af ca. "&amp;ROUND(F8,0)&amp;" g. og placer "&amp;IF(F7=1,"den i en olierede bakke.","dem i hver sin olierede bakke."))</f>
        <v>Del dejen i 2 klumper af ca. 290 g. og placer dem i hver sin olierede bakke.</v>
      </c>
      <c r="E46" s="105"/>
      <c r="F46" s="105"/>
      <c r="G46" s="105"/>
      <c r="H46" s="105"/>
      <c r="I46" s="105"/>
      <c r="J46" s="425"/>
      <c r="K46" s="425"/>
      <c r="L46" s="425"/>
      <c r="M46" s="425"/>
      <c r="N46" s="1364"/>
      <c r="O46" s="644"/>
      <c r="P46" s="607"/>
      <c r="Q46" s="608"/>
      <c r="R46" s="607"/>
      <c r="S46" s="607"/>
      <c r="T46" s="607"/>
      <c r="U46" s="607"/>
      <c r="V46" s="607"/>
    </row>
    <row r="47" spans="1:22" ht="16.5" customHeight="1">
      <c r="A47" s="607"/>
      <c r="B47" s="44"/>
      <c r="N47" s="1364"/>
      <c r="O47" s="644"/>
      <c r="P47" s="607"/>
      <c r="Q47" s="710"/>
      <c r="R47" s="607"/>
      <c r="S47" s="607"/>
      <c r="T47" s="607"/>
      <c r="U47" s="607"/>
      <c r="V47" s="607"/>
    </row>
    <row r="48" spans="1:22" ht="16.5" customHeight="1">
      <c r="A48" s="607"/>
      <c r="B48" s="1378" t="s">
        <v>1034</v>
      </c>
      <c r="C48" s="1382">
        <v>9</v>
      </c>
      <c r="D48" s="105" t="s">
        <v>1042</v>
      </c>
      <c r="E48" s="105"/>
      <c r="F48" s="105"/>
      <c r="G48" s="105"/>
      <c r="H48" s="105"/>
      <c r="I48" s="105"/>
      <c r="J48" s="425"/>
      <c r="K48" s="425"/>
      <c r="L48" s="425"/>
      <c r="M48" s="425"/>
      <c r="N48" s="1364"/>
      <c r="O48" s="644"/>
      <c r="P48" s="607"/>
      <c r="Q48" s="608"/>
      <c r="R48" s="607"/>
      <c r="S48" s="607"/>
      <c r="T48" s="607"/>
      <c r="U48" s="607"/>
      <c r="V48" s="607"/>
    </row>
    <row r="49" spans="1:22" ht="16.5" customHeight="1">
      <c r="A49" s="607"/>
      <c r="B49" s="44"/>
      <c r="K49" s="1395" t="s">
        <v>1082</v>
      </c>
      <c r="L49" s="1389"/>
      <c r="M49" s="1390"/>
      <c r="N49" s="1364"/>
      <c r="O49" s="644"/>
      <c r="P49" s="607"/>
      <c r="Q49" s="608"/>
      <c r="R49" s="607"/>
      <c r="S49" s="607"/>
      <c r="T49" s="607"/>
      <c r="U49" s="607"/>
      <c r="V49" s="607"/>
    </row>
    <row r="50" spans="1:22" ht="16.5" customHeight="1">
      <c r="A50" s="607"/>
      <c r="B50" s="1378" t="s">
        <v>1034</v>
      </c>
      <c r="C50" s="1382">
        <v>10</v>
      </c>
      <c r="D50" s="105" t="str">
        <f>IF(F7=1,"Lad den hvile tildækket i 30 min., hvorefter den trykkes helt ud til kanten.*","Lad dem hvile tildækket i 30 min., hvorefter de trykkes helt ud til kanten.")</f>
        <v>Lad dem hvile tildækket i 30 min., hvorefter de trykkes helt ud til kanten.</v>
      </c>
      <c r="E50" s="105"/>
      <c r="F50" s="105"/>
      <c r="G50" s="105"/>
      <c r="H50" s="105"/>
      <c r="I50" s="105"/>
      <c r="J50" s="425"/>
      <c r="K50" s="1396" t="s">
        <v>1083</v>
      </c>
      <c r="L50" s="1391"/>
      <c r="M50" s="1392"/>
      <c r="N50" s="1364"/>
      <c r="O50" s="644"/>
      <c r="P50" s="607"/>
      <c r="Q50" s="734"/>
      <c r="R50" s="607"/>
      <c r="S50" s="607"/>
      <c r="T50" s="607"/>
      <c r="U50" s="607"/>
      <c r="V50" s="607"/>
    </row>
    <row r="51" spans="1:22" ht="16.5" customHeight="1">
      <c r="A51" s="607"/>
      <c r="B51" s="44"/>
      <c r="K51" s="1397" t="s">
        <v>1036</v>
      </c>
      <c r="L51" s="1393"/>
      <c r="M51" s="1394"/>
      <c r="N51" s="1364"/>
      <c r="O51" s="644"/>
      <c r="P51" s="607"/>
      <c r="Q51" s="608"/>
      <c r="R51" s="607"/>
      <c r="S51" s="607"/>
      <c r="T51" s="607"/>
      <c r="U51" s="607"/>
      <c r="V51" s="607"/>
    </row>
    <row r="52" spans="1:22" ht="16.5" customHeight="1">
      <c r="A52" s="607"/>
      <c r="B52" s="1378" t="s">
        <v>1034</v>
      </c>
      <c r="C52" s="1382">
        <v>11</v>
      </c>
      <c r="D52" s="105" t="str">
        <f>IF(F7=1,"Lad den nu hvile tildækket yderligere 1-2 timer ved stuetemperatur.","Lad dem nu hvile tildækket yderligere 1-2 timer ved stuetemperatur.")</f>
        <v>Lad dem nu hvile tildækket yderligere 1-2 timer ved stuetemperatur.</v>
      </c>
      <c r="E52" s="105"/>
      <c r="F52" s="105"/>
      <c r="G52" s="105"/>
      <c r="H52" s="105"/>
      <c r="I52" s="105"/>
      <c r="J52" s="425"/>
      <c r="K52" s="2056" t="str">
        <f>IF(S12&lt;0.0417,"","Tag dem ud ca kl "&amp;TEXT(R7-TIME(1,0,0),"tt:mm")&amp;" og temperer 1 time.")</f>
        <v/>
      </c>
      <c r="L52" s="2056"/>
      <c r="M52" s="2056"/>
      <c r="N52" s="1364"/>
      <c r="O52" s="644"/>
      <c r="P52" s="607"/>
      <c r="Q52" s="607"/>
      <c r="R52" s="607"/>
      <c r="S52" s="607"/>
      <c r="T52" s="607"/>
      <c r="U52" s="607"/>
      <c r="V52" s="607"/>
    </row>
    <row r="53" spans="1:22" ht="16.5" customHeight="1">
      <c r="A53" s="607"/>
      <c r="B53" s="44"/>
      <c r="M53" s="1089"/>
      <c r="N53" s="1364"/>
      <c r="O53" s="644"/>
      <c r="P53" s="607"/>
      <c r="Q53" s="607"/>
      <c r="R53" s="607"/>
      <c r="S53" s="607"/>
      <c r="T53" s="607"/>
      <c r="U53" s="607"/>
      <c r="V53" s="607"/>
    </row>
    <row r="54" spans="1:22" ht="16.5" customHeight="1">
      <c r="A54" s="607"/>
      <c r="B54" s="1378" t="s">
        <v>1034</v>
      </c>
      <c r="C54" s="1382">
        <v>12</v>
      </c>
      <c r="D54" s="105" t="s">
        <v>1037</v>
      </c>
      <c r="E54" s="105"/>
      <c r="F54" s="105"/>
      <c r="G54" s="105"/>
      <c r="H54" s="105"/>
      <c r="I54" s="105"/>
      <c r="J54" s="425"/>
      <c r="N54" s="1364"/>
      <c r="O54" s="644"/>
      <c r="P54" s="607"/>
      <c r="Q54" s="607"/>
      <c r="R54" s="607"/>
      <c r="S54" s="607"/>
      <c r="T54" s="607"/>
      <c r="U54" s="607"/>
      <c r="V54" s="607"/>
    </row>
    <row r="55" spans="1:22" ht="16.5" customHeight="1">
      <c r="A55" s="607"/>
      <c r="B55" s="44"/>
      <c r="M55" s="1671"/>
      <c r="N55" s="1364"/>
      <c r="O55" s="644"/>
      <c r="P55" s="607"/>
      <c r="Q55" s="607"/>
      <c r="R55" s="607"/>
      <c r="S55" s="607"/>
      <c r="T55" s="607"/>
      <c r="U55" s="607"/>
      <c r="V55" s="607"/>
    </row>
    <row r="56" spans="1:22" ht="16.5" customHeight="1">
      <c r="A56" s="713"/>
      <c r="B56" s="1378" t="s">
        <v>1034</v>
      </c>
      <c r="C56" s="1382">
        <v>13</v>
      </c>
      <c r="D56" s="105" t="s">
        <v>846</v>
      </c>
      <c r="E56" s="105"/>
      <c r="F56" s="105"/>
      <c r="G56" s="105"/>
      <c r="H56" s="105"/>
      <c r="I56" s="105"/>
      <c r="J56" s="425"/>
      <c r="K56" s="1384"/>
      <c r="L56" s="1384"/>
      <c r="M56" s="1384"/>
      <c r="N56" s="1364"/>
      <c r="O56" s="644"/>
      <c r="P56" s="607"/>
      <c r="Q56" s="607"/>
      <c r="R56" s="607"/>
      <c r="S56" s="607"/>
      <c r="T56" s="607"/>
      <c r="U56" s="607"/>
      <c r="V56" s="607"/>
    </row>
    <row r="57" spans="1:22" ht="15.75" customHeight="1">
      <c r="A57" s="607"/>
      <c r="B57" s="44"/>
      <c r="C57" s="1385"/>
      <c r="D57" s="1385"/>
      <c r="E57" s="1385"/>
      <c r="F57" s="1385"/>
      <c r="G57" s="1385"/>
      <c r="H57" s="1385"/>
      <c r="I57" s="1385"/>
      <c r="J57" s="1385"/>
      <c r="K57" s="1385"/>
      <c r="L57" s="1385"/>
      <c r="M57" s="1385"/>
      <c r="N57" s="1364"/>
      <c r="O57" s="644"/>
      <c r="P57" s="607"/>
      <c r="Q57" s="607"/>
      <c r="R57" s="607"/>
      <c r="S57" s="607"/>
      <c r="T57" s="607"/>
      <c r="U57" s="607"/>
      <c r="V57" s="607"/>
    </row>
    <row r="58" spans="1:22" ht="15.75" customHeight="1">
      <c r="A58" s="607"/>
      <c r="B58" s="47"/>
      <c r="C58" s="82"/>
      <c r="D58" s="82"/>
      <c r="E58" s="82"/>
      <c r="F58" s="82"/>
      <c r="G58" s="82"/>
      <c r="H58" s="82"/>
      <c r="I58" s="82"/>
      <c r="J58" s="3"/>
      <c r="K58" s="82"/>
      <c r="L58" s="760"/>
      <c r="M58" s="760" t="s">
        <v>523</v>
      </c>
      <c r="N58" s="761"/>
      <c r="O58" s="644"/>
      <c r="P58" s="607"/>
      <c r="Q58" s="607"/>
      <c r="R58" s="607"/>
      <c r="S58" s="607"/>
      <c r="T58" s="607"/>
      <c r="U58" s="607"/>
      <c r="V58" s="607"/>
    </row>
    <row r="59" spans="1:22" ht="15.75" customHeight="1">
      <c r="A59" s="607"/>
      <c r="B59" s="607"/>
      <c r="C59" s="607"/>
      <c r="D59" s="607"/>
      <c r="E59" s="607"/>
      <c r="F59" s="607"/>
      <c r="G59" s="607"/>
      <c r="H59" s="607"/>
      <c r="I59" s="607"/>
      <c r="J59" s="607"/>
      <c r="K59" s="607"/>
      <c r="L59" s="607"/>
      <c r="M59" s="607"/>
      <c r="N59" s="607"/>
      <c r="O59" s="644"/>
      <c r="P59" s="607"/>
      <c r="Q59" s="607"/>
      <c r="R59" s="607"/>
      <c r="S59" s="607"/>
      <c r="T59" s="607"/>
      <c r="U59" s="607"/>
      <c r="V59" s="607"/>
    </row>
    <row r="60" spans="1:22" ht="15.75" customHeight="1">
      <c r="A60" s="607"/>
      <c r="B60" s="607"/>
      <c r="C60" s="607"/>
      <c r="D60" s="607"/>
      <c r="E60" s="607"/>
      <c r="F60" s="607"/>
      <c r="G60" s="607"/>
      <c r="H60" s="607"/>
      <c r="I60" s="607"/>
      <c r="J60" s="607"/>
      <c r="K60" s="607"/>
      <c r="L60" s="607"/>
      <c r="M60" s="607"/>
      <c r="N60" s="607"/>
      <c r="O60" s="644"/>
      <c r="P60" s="607"/>
      <c r="Q60" s="607"/>
      <c r="R60" s="607"/>
      <c r="S60" s="607"/>
      <c r="T60" s="607"/>
      <c r="U60" s="607"/>
      <c r="V60" s="607"/>
    </row>
    <row r="61" spans="1:22" ht="15.75" customHeight="1">
      <c r="A61" s="607"/>
      <c r="B61" s="607"/>
      <c r="C61" s="607"/>
      <c r="D61" s="607"/>
      <c r="E61" s="607"/>
      <c r="F61" s="607"/>
      <c r="G61" s="607"/>
      <c r="H61" s="607"/>
      <c r="I61" s="607"/>
      <c r="J61" s="607"/>
      <c r="K61" s="607"/>
      <c r="L61" s="607"/>
      <c r="M61" s="607"/>
      <c r="N61" s="607"/>
      <c r="O61" s="644"/>
      <c r="P61" s="607"/>
      <c r="Q61" s="607"/>
      <c r="R61" s="607"/>
      <c r="S61" s="607"/>
      <c r="T61" s="607"/>
      <c r="U61" s="607"/>
      <c r="V61" s="607"/>
    </row>
    <row r="62" spans="1:22" ht="15.75" customHeight="1">
      <c r="A62" s="607"/>
      <c r="B62" s="607"/>
      <c r="C62" s="607"/>
      <c r="D62" s="607"/>
      <c r="E62" s="607"/>
      <c r="F62" s="607"/>
      <c r="G62" s="607"/>
      <c r="H62" s="607"/>
      <c r="I62" s="607"/>
      <c r="J62" s="607"/>
      <c r="K62" s="607"/>
      <c r="L62" s="709"/>
      <c r="M62" s="607"/>
      <c r="N62" s="607"/>
      <c r="O62" s="644"/>
      <c r="P62" s="607"/>
      <c r="Q62" s="607"/>
      <c r="R62" s="607"/>
      <c r="S62" s="607"/>
      <c r="T62" s="607"/>
      <c r="U62" s="607"/>
      <c r="V62" s="607"/>
    </row>
    <row r="63" spans="1:22" ht="15.75" customHeight="1">
      <c r="A63" s="607"/>
      <c r="B63" s="607"/>
      <c r="C63" s="607"/>
      <c r="D63" s="607"/>
      <c r="E63" s="607"/>
      <c r="F63" s="607"/>
      <c r="G63" s="607"/>
      <c r="H63" s="607"/>
      <c r="I63" s="607"/>
      <c r="J63" s="607"/>
      <c r="K63" s="607"/>
      <c r="L63" s="711"/>
      <c r="M63" s="607"/>
      <c r="N63" s="607"/>
      <c r="O63" s="644"/>
      <c r="P63" s="607"/>
      <c r="Q63" s="607"/>
      <c r="R63" s="607"/>
      <c r="S63" s="607"/>
      <c r="T63" s="607"/>
      <c r="U63" s="607"/>
      <c r="V63" s="607"/>
    </row>
    <row r="64" spans="1:22" ht="15.75" customHeight="1">
      <c r="A64" s="607"/>
      <c r="B64" s="607"/>
      <c r="C64" s="607"/>
      <c r="D64" s="607"/>
      <c r="E64" s="607"/>
      <c r="F64" s="607"/>
      <c r="G64" s="607"/>
      <c r="H64" s="607"/>
      <c r="I64" s="607"/>
      <c r="J64" s="607"/>
      <c r="K64" s="607"/>
      <c r="L64" s="607"/>
      <c r="M64" s="607"/>
      <c r="N64" s="607"/>
      <c r="O64" s="644"/>
      <c r="P64" s="607"/>
      <c r="Q64" s="607"/>
      <c r="R64" s="607"/>
      <c r="S64" s="607"/>
      <c r="T64" s="607"/>
      <c r="U64" s="607"/>
      <c r="V64" s="607"/>
    </row>
    <row r="65" spans="1:22" ht="15.75" customHeight="1">
      <c r="A65" s="607"/>
      <c r="B65" s="607"/>
      <c r="C65" s="607"/>
      <c r="D65" s="607"/>
      <c r="E65" s="607"/>
      <c r="F65" s="607"/>
      <c r="G65" s="607"/>
      <c r="H65" s="607"/>
      <c r="I65" s="607"/>
      <c r="J65" s="607"/>
      <c r="K65" s="607"/>
      <c r="L65" s="709"/>
      <c r="M65" s="607"/>
      <c r="N65" s="607"/>
      <c r="O65" s="644"/>
      <c r="P65" s="607"/>
      <c r="Q65" s="607"/>
      <c r="R65" s="607"/>
      <c r="S65" s="607"/>
      <c r="T65" s="607"/>
      <c r="U65" s="607"/>
      <c r="V65" s="607"/>
    </row>
    <row r="66" spans="1:22" ht="15.75" customHeight="1">
      <c r="A66" s="607"/>
      <c r="B66" s="607"/>
      <c r="C66" s="607"/>
      <c r="D66" s="607"/>
      <c r="E66" s="607"/>
      <c r="F66" s="607"/>
      <c r="G66" s="607"/>
      <c r="H66" s="607"/>
      <c r="I66" s="607"/>
      <c r="J66" s="607"/>
      <c r="K66" s="607"/>
      <c r="L66" s="709"/>
      <c r="M66" s="607"/>
      <c r="N66" s="607"/>
      <c r="O66" s="644"/>
      <c r="P66" s="607"/>
      <c r="Q66" s="607"/>
      <c r="R66" s="607"/>
      <c r="S66" s="607"/>
      <c r="T66" s="607"/>
      <c r="U66" s="607"/>
      <c r="V66" s="607"/>
    </row>
    <row r="67" spans="1:22" ht="15.75" customHeight="1">
      <c r="A67" s="607"/>
      <c r="B67" s="607"/>
      <c r="C67" s="607"/>
      <c r="D67" s="607"/>
      <c r="E67" s="607"/>
      <c r="F67" s="607"/>
      <c r="G67" s="607"/>
      <c r="H67" s="607"/>
      <c r="I67" s="607"/>
      <c r="J67" s="607"/>
      <c r="K67" s="607"/>
      <c r="L67" s="607"/>
      <c r="M67" s="607"/>
      <c r="N67" s="607"/>
      <c r="O67" s="644"/>
      <c r="P67" s="607"/>
      <c r="Q67" s="607"/>
      <c r="R67" s="607"/>
      <c r="S67" s="607"/>
      <c r="T67" s="607"/>
      <c r="U67" s="607"/>
      <c r="V67" s="607"/>
    </row>
    <row r="68" spans="1:22" ht="15.75" customHeight="1">
      <c r="A68" s="607"/>
      <c r="B68" s="607"/>
      <c r="C68" s="607"/>
      <c r="D68" s="607"/>
      <c r="E68" s="607"/>
      <c r="F68" s="607"/>
      <c r="G68" s="607"/>
      <c r="H68" s="607"/>
      <c r="I68" s="607"/>
      <c r="J68" s="607"/>
      <c r="K68" s="607"/>
      <c r="L68" s="607"/>
      <c r="M68" s="607"/>
      <c r="N68" s="607"/>
      <c r="O68" s="644"/>
      <c r="P68" s="607"/>
      <c r="Q68" s="607"/>
      <c r="R68" s="607"/>
      <c r="S68" s="607"/>
      <c r="T68" s="607"/>
      <c r="U68" s="607"/>
      <c r="V68" s="607"/>
    </row>
    <row r="69" spans="1:22" ht="15.75" customHeight="1">
      <c r="A69" s="607"/>
      <c r="B69" s="607"/>
      <c r="C69" s="607"/>
      <c r="D69" s="607"/>
      <c r="E69" s="607"/>
      <c r="F69" s="607"/>
      <c r="G69" s="607"/>
      <c r="H69" s="607"/>
      <c r="I69" s="607"/>
      <c r="J69" s="607"/>
      <c r="K69" s="607"/>
      <c r="L69" s="607"/>
      <c r="M69" s="607"/>
      <c r="N69" s="607"/>
      <c r="O69" s="644"/>
      <c r="P69" s="607"/>
      <c r="Q69" s="607"/>
      <c r="R69" s="607"/>
      <c r="S69" s="607"/>
      <c r="T69" s="607"/>
      <c r="U69" s="607"/>
      <c r="V69" s="607"/>
    </row>
    <row r="70" spans="1:22" ht="15.75" customHeight="1">
      <c r="A70" s="607"/>
      <c r="B70" s="607"/>
      <c r="C70" s="607"/>
      <c r="D70" s="607"/>
      <c r="E70" s="607"/>
      <c r="F70" s="607"/>
      <c r="G70" s="607"/>
      <c r="H70" s="607"/>
      <c r="I70" s="607"/>
      <c r="J70" s="607"/>
      <c r="K70" s="607"/>
      <c r="L70" s="607"/>
      <c r="M70" s="607"/>
      <c r="N70" s="607"/>
      <c r="O70" s="644"/>
      <c r="P70" s="607"/>
      <c r="Q70" s="607"/>
      <c r="R70" s="607"/>
      <c r="S70" s="607"/>
      <c r="T70" s="607"/>
      <c r="U70" s="607"/>
      <c r="V70" s="607"/>
    </row>
  </sheetData>
  <sheetProtection algorithmName="SHA-512" hashValue="S4FDTN6MqwpKH0hE9jMDH9LrrhUto98tSgQWxtX3hissw8JKMthAq0wDTazIfcJ7YtAqHhlzwBY/gI3uUScayA==" saltValue="RoparloV2S2fKIODUrA+Ww==" spinCount="100000" sheet="1" objects="1" scenarios="1" selectLockedCells="1"/>
  <mergeCells count="15">
    <mergeCell ref="K52:M52"/>
    <mergeCell ref="J21:M21"/>
    <mergeCell ref="J22:M22"/>
    <mergeCell ref="C18:H20"/>
    <mergeCell ref="L31:M32"/>
    <mergeCell ref="K29:L29"/>
    <mergeCell ref="R17:T17"/>
    <mergeCell ref="P5:U6"/>
    <mergeCell ref="D14:D16"/>
    <mergeCell ref="C2:L3"/>
    <mergeCell ref="N7:O7"/>
    <mergeCell ref="N8:O8"/>
    <mergeCell ref="B13:C16"/>
    <mergeCell ref="I6:J7"/>
    <mergeCell ref="K11:L11"/>
  </mergeCells>
  <conditionalFormatting sqref="I8">
    <cfRule type="expression" dxfId="2" priority="2">
      <formula>$F$9="Nej"</formula>
    </cfRule>
  </conditionalFormatting>
  <conditionalFormatting sqref="J8">
    <cfRule type="expression" dxfId="1" priority="1">
      <formula>$F$9="Nej"</formula>
    </cfRule>
  </conditionalFormatting>
  <dataValidations count="5">
    <dataValidation allowBlank="1" showInputMessage="1" showErrorMessage="1" promptTitle="Anbefaling" prompt="24-27°_x000a_Dejtemperaturen har meget stor betydning for det endelieg resultat." sqref="S31" xr:uid="{DAD01992-2F8C-46DD-BF67-75F8F7EF1C28}"/>
    <dataValidation type="list" allowBlank="1" showInputMessage="1" showErrorMessage="1" sqref="F9" xr:uid="{7C3DA56A-9313-4042-B63C-7A99A445700B}">
      <formula1>"Ja,Nej"</formula1>
    </dataValidation>
    <dataValidation allowBlank="1" sqref="M6:M7" xr:uid="{673065CC-2396-4290-9B30-E589496DA0A2}"/>
    <dataValidation type="list" allowBlank="1" sqref="J11" xr:uid="{DFB07437-4FCC-404D-B15C-1CA9ED551BC5}">
      <formula1>$AA$7:$AA$9</formula1>
    </dataValidation>
    <dataValidation type="list" allowBlank="1" sqref="R7" xr:uid="{60D3B2D7-71A2-4F72-9A97-1FC477E4CBE7}">
      <formula1>"11:30,12:00,12:30,13:00,17:00,17:30,18:00,18:30,19:00,19:30"</formula1>
    </dataValidation>
  </dataValidations>
  <printOptions horizontalCentered="1"/>
  <pageMargins left="0.15748031496062992" right="0.15748031496062992" top="0.35433070866141736" bottom="0.35433070866141736" header="0.31496062992125984" footer="0.31496062992125984"/>
  <pageSetup paperSize="9" scale="8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6AB01-02AE-4D2D-B921-A1554A979C85}">
  <sheetPr codeName="Ark16">
    <tabColor theme="0"/>
    <pageSetUpPr fitToPage="1"/>
  </sheetPr>
  <dimension ref="A1:AD63"/>
  <sheetViews>
    <sheetView showGridLines="0" showRowColHeaders="0" zoomScaleNormal="100" workbookViewId="0">
      <pane ySplit="4" topLeftCell="A5" activePane="bottomLeft" state="frozen"/>
      <selection activeCell="H8" sqref="H8"/>
      <selection pane="bottomLeft" activeCell="I7" sqref="I7"/>
    </sheetView>
  </sheetViews>
  <sheetFormatPr defaultColWidth="0" defaultRowHeight="15" customHeight="1"/>
  <cols>
    <col min="1" max="1" width="3.5703125" customWidth="1"/>
    <col min="2" max="2" width="7.7109375" customWidth="1"/>
    <col min="3" max="3" width="7.140625" customWidth="1"/>
    <col min="4" max="4" width="15.7109375" customWidth="1"/>
    <col min="5" max="5" width="5.5703125" customWidth="1"/>
    <col min="6" max="6" width="6.85546875" customWidth="1"/>
    <col min="7" max="7" width="3.140625" customWidth="1"/>
    <col min="8" max="8" width="7.140625" customWidth="1"/>
    <col min="9" max="9" width="8.28515625" customWidth="1"/>
    <col min="10" max="10" width="13.140625" customWidth="1"/>
    <col min="11" max="11" width="10.140625" customWidth="1"/>
    <col min="12" max="12" width="16.85546875" customWidth="1"/>
    <col min="13" max="13" width="3.85546875" customWidth="1"/>
    <col min="14" max="14" width="6.28515625" customWidth="1"/>
    <col min="15" max="16" width="3.140625" customWidth="1"/>
    <col min="17" max="17" width="3.85546875" customWidth="1"/>
    <col min="18" max="18" width="8" customWidth="1"/>
    <col min="19" max="19" width="19.85546875" customWidth="1"/>
    <col min="20" max="20" width="8.140625" customWidth="1"/>
    <col min="21" max="21" width="8" customWidth="1"/>
    <col min="22" max="22" width="3.5703125" customWidth="1"/>
    <col min="23" max="23" width="2.140625" customWidth="1"/>
    <col min="24" max="24" width="8.7109375" hidden="1" customWidth="1"/>
    <col min="25" max="25" width="11" hidden="1" customWidth="1"/>
    <col min="26" max="26" width="15.7109375" hidden="1" customWidth="1"/>
    <col min="27" max="16384" width="8.7109375" hidden="1"/>
  </cols>
  <sheetData>
    <row r="1" spans="1:30" ht="15" customHeight="1">
      <c r="A1" s="660"/>
      <c r="B1" s="660"/>
      <c r="C1" s="661"/>
      <c r="D1" s="661"/>
      <c r="E1" s="661"/>
      <c r="F1" s="661"/>
      <c r="G1" s="661"/>
      <c r="H1" s="661"/>
      <c r="I1" s="661"/>
      <c r="J1" s="661"/>
      <c r="K1" s="661"/>
      <c r="L1" s="661"/>
      <c r="M1" s="660"/>
      <c r="N1" s="5"/>
      <c r="O1" s="5"/>
      <c r="P1" s="5"/>
      <c r="Q1" s="5"/>
      <c r="R1" s="5"/>
      <c r="S1" s="5"/>
      <c r="T1" s="5"/>
      <c r="U1" s="5"/>
      <c r="V1" s="5"/>
      <c r="W1" s="5"/>
    </row>
    <row r="2" spans="1:30" ht="15" customHeight="1">
      <c r="A2" s="660"/>
      <c r="B2" s="660"/>
      <c r="C2" s="2069" t="s">
        <v>1124</v>
      </c>
      <c r="D2" s="2069"/>
      <c r="E2" s="2069"/>
      <c r="F2" s="2069"/>
      <c r="G2" s="2069"/>
      <c r="H2" s="2069"/>
      <c r="I2" s="2069"/>
      <c r="J2" s="2069"/>
      <c r="K2" s="2069"/>
      <c r="L2" s="2069"/>
      <c r="M2" s="2069"/>
      <c r="N2" s="2069"/>
      <c r="O2" s="5"/>
      <c r="P2" s="5"/>
      <c r="Q2" s="5"/>
      <c r="R2" s="5"/>
      <c r="S2" s="656"/>
      <c r="T2" s="5"/>
      <c r="U2" s="5"/>
      <c r="V2" s="5"/>
      <c r="W2" s="5"/>
    </row>
    <row r="3" spans="1:30" ht="15" customHeight="1">
      <c r="A3" s="660"/>
      <c r="B3" s="660"/>
      <c r="C3" s="2069"/>
      <c r="D3" s="2069"/>
      <c r="E3" s="2069"/>
      <c r="F3" s="2069"/>
      <c r="G3" s="2069"/>
      <c r="H3" s="2069"/>
      <c r="I3" s="2069"/>
      <c r="J3" s="2069"/>
      <c r="K3" s="2069"/>
      <c r="L3" s="2069"/>
      <c r="M3" s="2069"/>
      <c r="N3" s="2069"/>
      <c r="O3" s="5"/>
      <c r="P3" s="5"/>
      <c r="Q3" s="5"/>
      <c r="R3" s="5"/>
      <c r="S3" s="5"/>
      <c r="T3" s="5"/>
      <c r="U3" s="5"/>
      <c r="V3" s="5"/>
      <c r="W3" s="5"/>
    </row>
    <row r="4" spans="1:30" ht="15" customHeight="1" thickBot="1">
      <c r="A4" s="663"/>
      <c r="B4" s="663"/>
      <c r="C4" s="664" t="s">
        <v>381</v>
      </c>
      <c r="D4" s="665"/>
      <c r="E4" s="665"/>
      <c r="F4" s="665"/>
      <c r="G4" s="665"/>
      <c r="H4" s="665"/>
      <c r="I4" s="665"/>
      <c r="J4" s="665"/>
      <c r="K4" s="665"/>
      <c r="L4" s="665"/>
      <c r="M4" s="663"/>
      <c r="N4" s="657"/>
      <c r="O4" s="657"/>
      <c r="P4" s="1274"/>
      <c r="Q4" s="657"/>
      <c r="R4" s="657"/>
      <c r="S4" s="657"/>
      <c r="T4" s="657"/>
      <c r="U4" s="657"/>
      <c r="V4" s="657"/>
      <c r="W4" s="657"/>
    </row>
    <row r="5" spans="1:30" ht="17.25" customHeight="1" thickTop="1" thickBot="1">
      <c r="A5" s="620"/>
      <c r="B5" s="620"/>
      <c r="C5" s="620"/>
      <c r="D5" s="620"/>
      <c r="E5" s="620"/>
      <c r="F5" s="607"/>
      <c r="G5" s="607"/>
      <c r="H5" s="607"/>
      <c r="I5" s="620"/>
      <c r="J5" s="620"/>
      <c r="K5" s="620"/>
      <c r="L5" s="620"/>
      <c r="M5" s="620"/>
      <c r="N5" s="620"/>
      <c r="O5" s="620"/>
      <c r="P5" s="637"/>
      <c r="Q5" s="1993" t="s">
        <v>1075</v>
      </c>
      <c r="R5" s="1994"/>
      <c r="S5" s="1994"/>
      <c r="T5" s="1994"/>
      <c r="U5" s="1994"/>
      <c r="V5" s="1994"/>
      <c r="W5" s="607"/>
    </row>
    <row r="6" spans="1:30" ht="15.75" customHeight="1">
      <c r="A6" s="620"/>
      <c r="B6" s="687" t="s">
        <v>344</v>
      </c>
      <c r="C6" s="688"/>
      <c r="D6" s="689"/>
      <c r="E6" s="607"/>
      <c r="F6" s="607"/>
      <c r="G6" s="607"/>
      <c r="H6" s="607"/>
      <c r="I6" s="620"/>
      <c r="J6" s="620"/>
      <c r="K6" s="856" t="s">
        <v>745</v>
      </c>
      <c r="L6" s="620"/>
      <c r="M6" s="620"/>
      <c r="N6" s="620"/>
      <c r="O6" s="620"/>
      <c r="P6" s="637"/>
      <c r="Q6" s="1995"/>
      <c r="R6" s="1996"/>
      <c r="S6" s="1996"/>
      <c r="T6" s="1996"/>
      <c r="U6" s="1996"/>
      <c r="V6" s="1996"/>
      <c r="W6" s="607"/>
      <c r="Y6" s="1087" t="s">
        <v>418</v>
      </c>
      <c r="Z6" s="1088"/>
      <c r="AB6" s="43" t="s">
        <v>299</v>
      </c>
      <c r="AC6" s="53" t="s">
        <v>809</v>
      </c>
      <c r="AD6" s="911" t="s">
        <v>756</v>
      </c>
    </row>
    <row r="7" spans="1:30" ht="15.75">
      <c r="A7" s="620"/>
      <c r="B7" s="690">
        <v>1</v>
      </c>
      <c r="C7" s="621" t="s">
        <v>1104</v>
      </c>
      <c r="D7" s="691"/>
      <c r="E7" s="614"/>
      <c r="F7" s="626" t="s">
        <v>372</v>
      </c>
      <c r="G7" s="858"/>
      <c r="H7" s="675"/>
      <c r="I7" s="685">
        <v>6</v>
      </c>
      <c r="J7" s="853" t="s">
        <v>386</v>
      </c>
      <c r="K7" s="642">
        <f>B7</f>
        <v>1</v>
      </c>
      <c r="L7" s="619" t="str">
        <f>C7</f>
        <v>Rød Finax</v>
      </c>
      <c r="M7" s="620"/>
      <c r="N7" s="620"/>
      <c r="O7" s="620"/>
      <c r="P7" s="637"/>
      <c r="Q7" s="643"/>
      <c r="R7" s="623" t="s">
        <v>1289</v>
      </c>
      <c r="S7" s="1845" t="s">
        <v>1290</v>
      </c>
      <c r="T7" s="1998"/>
      <c r="U7" s="1998"/>
      <c r="V7" s="1998"/>
      <c r="W7" s="607"/>
      <c r="Y7" s="1080">
        <f>B7</f>
        <v>1</v>
      </c>
      <c r="Z7" s="1081" t="str">
        <f>C7</f>
        <v>Rød Finax</v>
      </c>
      <c r="AB7" s="44" t="s">
        <v>385</v>
      </c>
      <c r="AC7" s="45" t="s">
        <v>385</v>
      </c>
      <c r="AD7" s="912">
        <v>1</v>
      </c>
    </row>
    <row r="8" spans="1:30" ht="16.5" thickBot="1">
      <c r="A8" s="620"/>
      <c r="B8" s="690">
        <v>0.74</v>
      </c>
      <c r="C8" s="621" t="s">
        <v>1026</v>
      </c>
      <c r="D8" s="691"/>
      <c r="E8" s="614"/>
      <c r="F8" s="626" t="s">
        <v>373</v>
      </c>
      <c r="G8" s="858"/>
      <c r="H8" s="675"/>
      <c r="I8" s="686">
        <v>270</v>
      </c>
      <c r="J8" s="854" t="s">
        <v>369</v>
      </c>
      <c r="K8" s="334"/>
      <c r="L8" s="619" t="str">
        <f>C8</f>
        <v>hydrering</v>
      </c>
      <c r="M8" s="620"/>
      <c r="N8" s="620"/>
      <c r="O8" s="620"/>
      <c r="P8" s="637"/>
      <c r="Q8" s="643"/>
      <c r="R8" s="623" t="s">
        <v>1060</v>
      </c>
      <c r="S8" s="1621">
        <v>0.72916666666666663</v>
      </c>
      <c r="T8" s="1998" t="s">
        <v>644</v>
      </c>
      <c r="U8" s="1998"/>
      <c r="V8" s="1998"/>
      <c r="W8" s="607"/>
      <c r="Y8" s="1080">
        <f>IF(K8="",B8,K8)</f>
        <v>0.74</v>
      </c>
      <c r="Z8" s="1076" t="str">
        <f>C8</f>
        <v>hydrering</v>
      </c>
      <c r="AB8" s="44" t="s">
        <v>810</v>
      </c>
      <c r="AC8" s="45" t="s">
        <v>376</v>
      </c>
      <c r="AD8" s="913">
        <v>4</v>
      </c>
    </row>
    <row r="9" spans="1:30" ht="17.25" thickTop="1" thickBot="1">
      <c r="A9" s="620"/>
      <c r="B9" s="692">
        <v>4.1666666666666664E-2</v>
      </c>
      <c r="C9" s="621" t="s">
        <v>524</v>
      </c>
      <c r="D9" s="691"/>
      <c r="E9" s="614"/>
      <c r="F9" s="634"/>
      <c r="G9" s="858"/>
      <c r="H9" s="675"/>
      <c r="I9" s="620"/>
      <c r="J9" s="854"/>
      <c r="K9" s="334"/>
      <c r="L9" s="619" t="str">
        <f>C9</f>
        <v>olie</v>
      </c>
      <c r="M9" s="620"/>
      <c r="N9" s="620"/>
      <c r="O9" s="620"/>
      <c r="P9" s="637"/>
      <c r="Q9" s="643"/>
      <c r="R9" s="620"/>
      <c r="S9" s="1807">
        <f ca="1">TODAY()+MOD(MATCH(S7,{"Mandag";"Tirsdag";"Onsdag";"Torsdag";"Fredag";"Lørdag";"Søndag"},0)-WEEKDAY(TODAY(),2)+7,7)</f>
        <v>45926</v>
      </c>
      <c r="T9" s="868"/>
      <c r="U9" s="675"/>
      <c r="V9" s="614"/>
      <c r="W9" s="607"/>
      <c r="Y9" s="1085">
        <f>IF(K9="",B9,K9)</f>
        <v>4.1666666666666664E-2</v>
      </c>
      <c r="Z9" s="1086" t="str">
        <f>C9</f>
        <v>olie</v>
      </c>
      <c r="AB9" s="44" t="s">
        <v>811</v>
      </c>
      <c r="AC9" s="45" t="s">
        <v>376</v>
      </c>
      <c r="AD9" s="913">
        <v>3</v>
      </c>
    </row>
    <row r="10" spans="1:30" ht="17.25" thickTop="1" thickBot="1">
      <c r="A10" s="620"/>
      <c r="B10" s="692">
        <v>0.03</v>
      </c>
      <c r="C10" s="621" t="s">
        <v>375</v>
      </c>
      <c r="D10" s="691"/>
      <c r="E10" s="614"/>
      <c r="F10" s="634" t="s">
        <v>382</v>
      </c>
      <c r="G10" s="858"/>
      <c r="H10" s="675"/>
      <c r="I10" s="677">
        <f>I7*I8</f>
        <v>1620</v>
      </c>
      <c r="J10" s="855" t="s">
        <v>369</v>
      </c>
      <c r="K10" s="334"/>
      <c r="L10" s="619" t="str">
        <f>C10</f>
        <v>salt</v>
      </c>
      <c r="M10" s="620"/>
      <c r="N10" s="620"/>
      <c r="O10" s="620"/>
      <c r="P10" s="637"/>
      <c r="Q10" s="643"/>
      <c r="R10" s="620"/>
      <c r="S10" s="614"/>
      <c r="T10" s="868"/>
      <c r="U10" s="675"/>
      <c r="V10" s="614"/>
      <c r="W10" s="607"/>
      <c r="Y10" s="1085">
        <f>IF(K10="",B10,K10)</f>
        <v>0.03</v>
      </c>
      <c r="Z10" s="1086" t="str">
        <f>C10</f>
        <v>salt</v>
      </c>
      <c r="AB10" s="44" t="s">
        <v>805</v>
      </c>
      <c r="AC10" s="45" t="s">
        <v>808</v>
      </c>
      <c r="AD10" s="914">
        <v>3</v>
      </c>
    </row>
    <row r="11" spans="1:30" ht="17.25" thickTop="1" thickBot="1">
      <c r="A11" s="620"/>
      <c r="B11" s="693">
        <v>4.1666666666666666E-3</v>
      </c>
      <c r="C11" s="640" t="s">
        <v>385</v>
      </c>
      <c r="D11" s="694"/>
      <c r="E11" s="614"/>
      <c r="F11" s="678"/>
      <c r="G11" s="679"/>
      <c r="H11" s="675"/>
      <c r="I11" s="620"/>
      <c r="J11" s="854"/>
      <c r="K11" s="857"/>
      <c r="L11" s="822" t="s">
        <v>385</v>
      </c>
      <c r="M11" s="2076">
        <f>IF(L11&lt;&gt;"tørgær",Y11,IF(K11="",B11,""))</f>
        <v>4.1666666666666666E-3</v>
      </c>
      <c r="N11" s="2076"/>
      <c r="O11" s="620"/>
      <c r="P11" s="637"/>
      <c r="Q11" s="643"/>
      <c r="R11" s="1546" t="s">
        <v>1089</v>
      </c>
      <c r="S11" s="1547"/>
      <c r="T11" s="1580">
        <v>1.0416666666666666E-2</v>
      </c>
      <c r="U11" s="1990" t="s">
        <v>644</v>
      </c>
      <c r="V11" s="1990"/>
      <c r="W11" s="607"/>
      <c r="Y11" s="1083">
        <f>IF(L11="tørgær",IF(K11="",B11,K11),IF(K11="",B11,K11)*AD11)</f>
        <v>4.1666666666666666E-3</v>
      </c>
      <c r="Z11" s="1084" t="str">
        <f>AC11</f>
        <v>tørgær</v>
      </c>
      <c r="AB11" s="909" t="s">
        <v>764</v>
      </c>
      <c r="AC11" s="910" t="str">
        <f>VLOOKUP(L11,AB7:AC10,2,FALSE)</f>
        <v>tørgær</v>
      </c>
      <c r="AD11" s="921">
        <f>VLOOKUP(L11,AB7:AD10,3,FALSE)</f>
        <v>1</v>
      </c>
    </row>
    <row r="12" spans="1:30" ht="15.75">
      <c r="A12" s="620"/>
      <c r="B12" s="682"/>
      <c r="C12" s="620"/>
      <c r="D12" s="620"/>
      <c r="E12" s="607"/>
      <c r="F12" s="680"/>
      <c r="G12" s="607"/>
      <c r="H12" s="607"/>
      <c r="I12" s="607"/>
      <c r="J12" s="854"/>
      <c r="K12" s="676"/>
      <c r="L12" s="683"/>
      <c r="M12" s="620"/>
      <c r="N12" s="620"/>
      <c r="O12" s="620"/>
      <c r="P12" s="637"/>
      <c r="Q12" s="643"/>
      <c r="R12" s="1578" t="s">
        <v>1127</v>
      </c>
      <c r="S12" s="1544"/>
      <c r="T12" s="1645">
        <v>8.3333333333333329E-2</v>
      </c>
      <c r="U12" s="813" t="s">
        <v>644</v>
      </c>
      <c r="V12" s="813"/>
      <c r="W12" s="607"/>
    </row>
    <row r="13" spans="1:30" ht="15.75">
      <c r="A13" s="620"/>
      <c r="B13" s="682"/>
      <c r="C13" s="620"/>
      <c r="D13" s="620"/>
      <c r="E13" s="620"/>
      <c r="F13" s="630"/>
      <c r="G13" s="630"/>
      <c r="H13" s="620"/>
      <c r="I13" s="620"/>
      <c r="J13" s="620"/>
      <c r="K13" s="676"/>
      <c r="L13" s="683"/>
      <c r="M13" s="620"/>
      <c r="N13" s="684"/>
      <c r="O13" s="620"/>
      <c r="P13" s="637"/>
      <c r="Q13" s="643"/>
      <c r="R13" s="1578" t="s">
        <v>1126</v>
      </c>
      <c r="S13" s="1544"/>
      <c r="T13" s="1579">
        <v>0.83333333333333337</v>
      </c>
      <c r="U13" s="813" t="s">
        <v>644</v>
      </c>
      <c r="V13" s="813"/>
      <c r="W13" s="607"/>
    </row>
    <row r="14" spans="1:30" ht="15.75">
      <c r="A14" s="620"/>
      <c r="B14" s="682"/>
      <c r="C14" s="620"/>
      <c r="D14" s="620"/>
      <c r="E14" s="620"/>
      <c r="F14" s="630"/>
      <c r="G14" s="620"/>
      <c r="H14" s="620"/>
      <c r="I14" s="620"/>
      <c r="J14" s="620"/>
      <c r="K14" s="620"/>
      <c r="L14" s="683"/>
      <c r="M14" s="620"/>
      <c r="N14" s="684"/>
      <c r="O14" s="620"/>
      <c r="P14" s="637"/>
      <c r="Q14" s="643"/>
      <c r="R14" s="645"/>
      <c r="S14" s="607"/>
      <c r="T14" s="607"/>
      <c r="U14" s="607"/>
      <c r="V14" s="607"/>
      <c r="W14" s="607"/>
      <c r="Y14" s="16"/>
    </row>
    <row r="15" spans="1:30" ht="15" customHeight="1">
      <c r="A15" s="607"/>
      <c r="B15" s="849"/>
      <c r="C15" s="1954" t="str">
        <f>C2</f>
        <v>Bagerkokkens glutenfri pizza (håndæltet)</v>
      </c>
      <c r="D15" s="1954"/>
      <c r="E15" s="1954"/>
      <c r="F15" s="1954"/>
      <c r="G15" s="1954"/>
      <c r="H15" s="1954"/>
      <c r="I15" s="1954"/>
      <c r="J15" s="1954"/>
      <c r="K15" s="757"/>
      <c r="L15" s="9"/>
      <c r="M15" s="9"/>
      <c r="N15" s="9"/>
      <c r="O15" s="10"/>
      <c r="P15" s="644"/>
      <c r="Q15" s="643"/>
      <c r="R15" s="1546" t="str">
        <f ca="1">R21</f>
        <v>Dag 2</v>
      </c>
      <c r="S15" s="1547"/>
      <c r="T15" s="607"/>
      <c r="U15" s="607"/>
      <c r="V15" s="1548"/>
      <c r="W15" s="607"/>
      <c r="Y15" s="1089"/>
    </row>
    <row r="16" spans="1:30" ht="15.75" customHeight="1">
      <c r="A16" s="607"/>
      <c r="B16" s="850"/>
      <c r="C16" s="1887"/>
      <c r="D16" s="1887"/>
      <c r="E16" s="1887"/>
      <c r="F16" s="1887"/>
      <c r="G16" s="1887"/>
      <c r="H16" s="1887"/>
      <c r="I16" s="1887"/>
      <c r="J16" s="1887"/>
      <c r="O16" s="758"/>
      <c r="P16" s="644"/>
      <c r="Q16" s="643"/>
      <c r="R16" s="623" t="s">
        <v>1128</v>
      </c>
      <c r="S16" s="620"/>
      <c r="T16" s="1572">
        <v>0</v>
      </c>
      <c r="U16" s="813" t="s">
        <v>644</v>
      </c>
      <c r="V16" s="607"/>
      <c r="W16" s="607"/>
    </row>
    <row r="17" spans="1:26" ht="15" customHeight="1">
      <c r="A17" s="607"/>
      <c r="B17" s="7"/>
      <c r="C17" s="1887"/>
      <c r="D17" s="1887"/>
      <c r="E17" s="1887"/>
      <c r="F17" s="1887"/>
      <c r="G17" s="1887"/>
      <c r="H17" s="1887"/>
      <c r="I17" s="1887"/>
      <c r="J17" s="1887"/>
      <c r="N17" s="5"/>
      <c r="O17" s="758"/>
      <c r="P17" s="644"/>
      <c r="Q17" s="643"/>
      <c r="R17" s="607"/>
      <c r="S17" s="607"/>
      <c r="T17" s="607"/>
      <c r="U17" s="607"/>
      <c r="V17" s="607"/>
      <c r="W17" s="607"/>
    </row>
    <row r="18" spans="1:26" ht="16.5" thickBot="1">
      <c r="A18" s="607"/>
      <c r="B18" s="1327" t="s">
        <v>746</v>
      </c>
      <c r="C18" s="1638" t="s">
        <v>1120</v>
      </c>
      <c r="K18" s="2070" t="s">
        <v>1055</v>
      </c>
      <c r="L18" s="2071"/>
      <c r="M18" s="2071"/>
      <c r="N18" s="2072"/>
      <c r="O18" s="758"/>
      <c r="P18" s="644"/>
      <c r="Q18" s="643"/>
      <c r="R18" s="1569" t="s">
        <v>1073</v>
      </c>
      <c r="S18" s="1570"/>
      <c r="T18" s="1568">
        <f>SUM(T11:T16)</f>
        <v>0.92708333333333337</v>
      </c>
      <c r="U18" s="1571" t="s">
        <v>644</v>
      </c>
      <c r="V18" s="607"/>
      <c r="W18" s="607"/>
    </row>
    <row r="19" spans="1:26" ht="15" customHeight="1">
      <c r="A19" s="607"/>
      <c r="B19" s="1327" t="s">
        <v>746</v>
      </c>
      <c r="C19" s="1637" t="str">
        <f>IF(AC11="tørgær","Tørgæren arbejder bedst når dejen bliver 25-27°.","Frisk gær kan opløses i koldt eller lunkent vand.")</f>
        <v>Tørgæren arbejder bedst når dejen bliver 25-27°.</v>
      </c>
      <c r="K19" s="2073" t="str">
        <f>I7&amp;" pizzaer a "&amp;ROUND(I8,0)&amp;" g.  -   "&amp;ROUND(Y8*100,0)&amp;"% hydrering"</f>
        <v>6 pizzaer a 270 g.  -   74% hydrering</v>
      </c>
      <c r="L19" s="2074"/>
      <c r="M19" s="2074"/>
      <c r="N19" s="2075"/>
      <c r="O19" s="758"/>
      <c r="P19" s="644"/>
      <c r="Q19" s="643"/>
      <c r="R19" s="614"/>
      <c r="S19" s="1543"/>
      <c r="T19" s="1543"/>
      <c r="U19" s="1541"/>
      <c r="V19" s="607"/>
      <c r="W19" s="607"/>
      <c r="Z19" s="1096"/>
    </row>
    <row r="20" spans="1:26" ht="15.75">
      <c r="A20" s="607"/>
      <c r="B20" s="1327" t="s">
        <v>746</v>
      </c>
      <c r="C20" s="1639" t="s">
        <v>1114</v>
      </c>
      <c r="K20" s="1597">
        <f>$I$10*(Y7/SUM($Y$7:$Y$11))</f>
        <v>892.15236346948143</v>
      </c>
      <c r="L20" s="852" t="s">
        <v>1123</v>
      </c>
      <c r="M20" s="5"/>
      <c r="N20" s="1771">
        <f>Y7</f>
        <v>1</v>
      </c>
      <c r="O20" s="758"/>
      <c r="P20" s="644"/>
      <c r="Q20" s="643"/>
      <c r="R20" s="1551" t="s">
        <v>0</v>
      </c>
      <c r="S20" s="1922">
        <f ca="1">IF(S9="","?",S9-T18+S8)</f>
        <v>45925.802083333328</v>
      </c>
      <c r="T20" s="1922"/>
      <c r="U20" s="1922"/>
      <c r="V20" s="607"/>
      <c r="W20" s="607"/>
      <c r="Z20" s="1096"/>
    </row>
    <row r="21" spans="1:26" ht="15.75">
      <c r="A21" s="607"/>
      <c r="B21" s="7"/>
      <c r="C21" s="1639" t="s">
        <v>1115</v>
      </c>
      <c r="K21" s="1597">
        <f>$I$10*(Y8/SUM($Y$7:$Y$11))</f>
        <v>660.19274896741626</v>
      </c>
      <c r="L21" s="852" t="s">
        <v>444</v>
      </c>
      <c r="M21" s="5"/>
      <c r="N21" s="1771">
        <f>Y8</f>
        <v>0.74</v>
      </c>
      <c r="O21" s="758"/>
      <c r="P21" s="644"/>
      <c r="Q21" s="643"/>
      <c r="R21" s="1551" t="str">
        <f ca="1">"Dag "&amp;IF(S9="","?",_xlfn.DAYS(S21,S20)+1)</f>
        <v>Dag 2</v>
      </c>
      <c r="S21" s="1922">
        <f ca="1">IF(S9="","?",S20+SUM(T11:T14))</f>
        <v>45926.729166666664</v>
      </c>
      <c r="T21" s="1922"/>
      <c r="U21" s="1922"/>
      <c r="V21" s="607"/>
      <c r="W21" s="607"/>
    </row>
    <row r="22" spans="1:26" ht="16.5" thickBot="1">
      <c r="A22" s="607"/>
      <c r="B22" s="1327" t="s">
        <v>746</v>
      </c>
      <c r="C22" s="1639" t="s">
        <v>1117</v>
      </c>
      <c r="K22" s="876">
        <f>$I$10*(Y9/SUM($Y$7:$Y$11))</f>
        <v>37.173015144561724</v>
      </c>
      <c r="L22" s="852" t="s">
        <v>1105</v>
      </c>
      <c r="M22" s="5"/>
      <c r="N22" s="1773">
        <f t="shared" ref="N22:N23" si="0">Y9</f>
        <v>4.1666666666666664E-2</v>
      </c>
      <c r="O22" s="758"/>
      <c r="P22" s="644"/>
      <c r="Q22" s="652"/>
      <c r="R22" s="886"/>
      <c r="S22" s="886"/>
      <c r="T22" s="886"/>
      <c r="U22" s="1540"/>
      <c r="V22" s="1540"/>
      <c r="W22" s="607"/>
      <c r="Z22" s="1096"/>
    </row>
    <row r="23" spans="1:26" ht="15.75">
      <c r="A23" s="607"/>
      <c r="B23" s="7"/>
      <c r="C23" s="1674" t="s">
        <v>1118</v>
      </c>
      <c r="K23" s="876">
        <f>$I$10*(Y10/SUM($Y$7:$Y$11))</f>
        <v>26.764570904084437</v>
      </c>
      <c r="L23" s="852" t="s">
        <v>29</v>
      </c>
      <c r="M23" s="5"/>
      <c r="N23" s="1773">
        <f t="shared" si="0"/>
        <v>0.03</v>
      </c>
      <c r="O23" s="758"/>
      <c r="P23" s="644"/>
      <c r="Q23" s="607"/>
      <c r="R23" s="607"/>
      <c r="S23" s="607"/>
      <c r="T23" s="607"/>
      <c r="U23" s="737"/>
      <c r="V23" s="607"/>
      <c r="W23" s="607"/>
      <c r="Z23" s="1096"/>
    </row>
    <row r="24" spans="1:26" ht="15.75">
      <c r="A24" s="607"/>
      <c r="B24" s="44"/>
      <c r="C24" s="1639" t="s">
        <v>1119</v>
      </c>
      <c r="K24" s="1416">
        <f>$I$10*(Y11/SUM($Y$7:$Y$11))</f>
        <v>3.7173015144561723</v>
      </c>
      <c r="L24" s="1040" t="str">
        <f>"g "&amp;AC11</f>
        <v>g tørgær</v>
      </c>
      <c r="M24" s="3"/>
      <c r="N24" s="1772">
        <f>Y11</f>
        <v>4.1666666666666666E-3</v>
      </c>
      <c r="O24" s="758"/>
      <c r="P24" s="644"/>
      <c r="Q24" s="607"/>
      <c r="R24" s="607"/>
      <c r="S24" s="607"/>
      <c r="T24" s="607"/>
      <c r="U24" s="737"/>
      <c r="V24" s="607"/>
      <c r="W24" s="607"/>
      <c r="Z24" s="1096"/>
    </row>
    <row r="25" spans="1:26">
      <c r="A25" s="607"/>
      <c r="B25" s="1327" t="s">
        <v>746</v>
      </c>
      <c r="C25" s="1639" t="s">
        <v>1130</v>
      </c>
      <c r="O25" s="758"/>
      <c r="P25" s="644"/>
      <c r="Q25" s="607"/>
      <c r="R25" s="607"/>
      <c r="S25" s="607"/>
      <c r="T25" s="607"/>
      <c r="U25" s="737"/>
      <c r="V25" s="607"/>
      <c r="W25" s="607"/>
      <c r="Z25" s="1096"/>
    </row>
    <row r="26" spans="1:26" ht="15.75">
      <c r="A26" s="607"/>
      <c r="B26" s="44"/>
      <c r="O26" s="45"/>
      <c r="P26" s="644"/>
      <c r="Q26" s="607"/>
      <c r="R26" s="856"/>
      <c r="S26" s="617"/>
      <c r="T26" s="617"/>
      <c r="U26" s="607"/>
      <c r="V26" s="607"/>
      <c r="W26" s="607"/>
    </row>
    <row r="27" spans="1:26" ht="15" customHeight="1">
      <c r="A27" s="607"/>
      <c r="B27" s="44"/>
      <c r="C27" s="1639"/>
      <c r="O27" s="45"/>
      <c r="P27" s="644"/>
      <c r="Q27" s="607"/>
      <c r="R27" s="610"/>
      <c r="S27" s="617"/>
      <c r="T27" s="617"/>
      <c r="U27" s="607"/>
      <c r="V27" s="607"/>
      <c r="W27" s="607"/>
    </row>
    <row r="28" spans="1:26" ht="15.75" customHeight="1">
      <c r="A28" s="607"/>
      <c r="B28" s="44"/>
      <c r="O28" s="45"/>
      <c r="P28" s="644"/>
      <c r="Q28" s="607"/>
      <c r="R28" s="610"/>
      <c r="S28" s="617"/>
      <c r="T28" s="617"/>
      <c r="U28" s="607"/>
      <c r="V28" s="607"/>
      <c r="W28" s="607"/>
    </row>
    <row r="29" spans="1:26" ht="18.75">
      <c r="A29" s="607"/>
      <c r="B29" s="1379" t="s">
        <v>1035</v>
      </c>
      <c r="C29" s="898" t="s">
        <v>0</v>
      </c>
      <c r="D29" s="3"/>
      <c r="E29" s="3"/>
      <c r="F29" s="3"/>
      <c r="G29" s="3"/>
      <c r="H29" s="3"/>
      <c r="I29" s="3"/>
      <c r="J29" s="3"/>
      <c r="K29" s="1795" t="str">
        <f ca="1">TEXT(S20,"dddd")</f>
        <v>torsdag</v>
      </c>
      <c r="L29" s="1992">
        <f ca="1">IF($S$8="","",S20)</f>
        <v>45925.802083333328</v>
      </c>
      <c r="M29" s="1992"/>
      <c r="N29" s="1992"/>
      <c r="O29" s="758"/>
      <c r="P29" s="644"/>
      <c r="Q29" s="607"/>
      <c r="R29" s="610"/>
      <c r="S29" s="607"/>
      <c r="T29" s="607"/>
      <c r="U29" s="607"/>
      <c r="V29" s="607"/>
      <c r="W29" s="607"/>
    </row>
    <row r="30" spans="1:26" ht="15.75">
      <c r="A30" s="607"/>
      <c r="B30" s="1057"/>
      <c r="O30" s="45"/>
      <c r="P30" s="644"/>
      <c r="Q30" s="607"/>
      <c r="R30" s="608"/>
      <c r="S30" s="607"/>
      <c r="T30" s="607"/>
      <c r="U30" s="607"/>
      <c r="V30" s="607"/>
      <c r="W30" s="607"/>
    </row>
    <row r="31" spans="1:26" ht="18">
      <c r="A31" s="607"/>
      <c r="B31" s="1398" t="s">
        <v>1034</v>
      </c>
      <c r="C31" s="1640">
        <v>1</v>
      </c>
      <c r="D31" s="5" t="s">
        <v>1121</v>
      </c>
      <c r="E31" s="5"/>
      <c r="F31" s="5"/>
      <c r="G31" s="5"/>
      <c r="H31" s="5"/>
      <c r="I31" s="5"/>
      <c r="K31" s="483" t="str">
        <f>ROUND(K24,2)&amp;" "&amp;L24&amp;", "&amp;ROUND(K20,0)&amp;" g. mel"</f>
        <v>3,72 g tørgær, 892 g. mel</v>
      </c>
      <c r="L31" s="484"/>
      <c r="M31" s="484"/>
      <c r="N31" s="485"/>
      <c r="O31" s="758"/>
      <c r="P31" s="644"/>
      <c r="Q31" s="607"/>
      <c r="R31" s="610"/>
      <c r="S31" s="617"/>
      <c r="T31" s="617"/>
      <c r="U31" s="607"/>
      <c r="V31" s="607"/>
      <c r="W31" s="607"/>
    </row>
    <row r="32" spans="1:26">
      <c r="A32" s="607"/>
      <c r="B32" s="44"/>
      <c r="O32" s="45"/>
      <c r="P32" s="644"/>
      <c r="Q32" s="607"/>
      <c r="R32" s="607"/>
      <c r="S32" s="607"/>
      <c r="T32" s="607"/>
      <c r="U32" s="607"/>
      <c r="V32" s="607"/>
      <c r="W32" s="607"/>
    </row>
    <row r="33" spans="1:23" ht="18">
      <c r="A33" s="607"/>
      <c r="B33" s="1398" t="s">
        <v>1034</v>
      </c>
      <c r="C33" s="1640">
        <v>2</v>
      </c>
      <c r="D33" s="5" t="s">
        <v>1106</v>
      </c>
      <c r="E33" s="5"/>
      <c r="F33" s="5"/>
      <c r="G33" s="5"/>
      <c r="H33" s="5"/>
      <c r="I33" s="5"/>
      <c r="J33" s="5"/>
      <c r="K33" s="483" t="str">
        <f>ROUND(K21,0)&amp;" ml. vand, "&amp;ROUND(K22,0)&amp;" g. olie, "&amp;ROUND(K23,0)&amp;" g. salt"</f>
        <v>660 ml. vand, 37 g. olie, 27 g. salt</v>
      </c>
      <c r="L33" s="484"/>
      <c r="M33" s="484"/>
      <c r="N33" s="485"/>
      <c r="O33" s="758"/>
      <c r="P33" s="644"/>
      <c r="Q33" s="607"/>
      <c r="R33" s="1642"/>
      <c r="S33" s="737"/>
      <c r="T33" s="737"/>
      <c r="U33" s="607"/>
      <c r="V33" s="607"/>
      <c r="W33" s="607"/>
    </row>
    <row r="34" spans="1:23">
      <c r="A34" s="607"/>
      <c r="B34" s="44"/>
      <c r="D34" t="s">
        <v>1107</v>
      </c>
      <c r="O34" s="45"/>
      <c r="P34" s="644"/>
      <c r="Q34" s="607"/>
      <c r="R34" s="610"/>
      <c r="S34" s="607"/>
      <c r="T34" s="607"/>
      <c r="U34" s="607"/>
      <c r="V34" s="607"/>
      <c r="W34" s="607"/>
    </row>
    <row r="35" spans="1:23">
      <c r="A35" s="607"/>
      <c r="B35" s="44"/>
      <c r="O35" s="45"/>
      <c r="P35" s="644"/>
      <c r="Q35" s="607"/>
      <c r="R35" s="645"/>
      <c r="S35" s="607"/>
      <c r="T35" s="607"/>
      <c r="U35" s="607"/>
      <c r="V35" s="607"/>
      <c r="W35" s="607"/>
    </row>
    <row r="36" spans="1:23" ht="18">
      <c r="A36" s="607"/>
      <c r="B36" s="1398" t="s">
        <v>1034</v>
      </c>
      <c r="C36" s="1640">
        <v>3</v>
      </c>
      <c r="D36" s="5" t="s">
        <v>1108</v>
      </c>
      <c r="E36" s="5"/>
      <c r="F36" s="5"/>
      <c r="G36" s="5"/>
      <c r="H36" s="5"/>
      <c r="I36" s="5"/>
      <c r="J36" s="5"/>
      <c r="K36" s="756"/>
      <c r="L36" s="756"/>
      <c r="M36" s="756"/>
      <c r="N36" s="756"/>
      <c r="O36" s="758"/>
      <c r="P36" s="644"/>
      <c r="Q36" s="607"/>
      <c r="R36" s="645"/>
      <c r="S36" s="607"/>
      <c r="T36" s="607"/>
      <c r="U36" s="607"/>
      <c r="V36" s="607"/>
      <c r="W36" s="607"/>
    </row>
    <row r="37" spans="1:23">
      <c r="A37" s="607"/>
      <c r="B37" s="44"/>
      <c r="D37" t="s">
        <v>1109</v>
      </c>
      <c r="O37" s="45"/>
      <c r="P37" s="644"/>
      <c r="Q37" s="607"/>
      <c r="R37" s="645"/>
      <c r="S37" s="607"/>
      <c r="T37" s="607"/>
      <c r="U37" s="607"/>
      <c r="V37" s="607"/>
      <c r="W37" s="607"/>
    </row>
    <row r="38" spans="1:23">
      <c r="A38" s="607"/>
      <c r="B38" s="44"/>
      <c r="O38" s="45"/>
      <c r="P38" s="644"/>
      <c r="Q38" s="607"/>
      <c r="R38" s="645"/>
      <c r="S38" s="607"/>
      <c r="T38" s="607"/>
      <c r="U38" s="607"/>
      <c r="V38" s="607"/>
      <c r="W38" s="607"/>
    </row>
    <row r="39" spans="1:23" ht="18">
      <c r="A39" s="607"/>
      <c r="B39" s="1398" t="s">
        <v>1034</v>
      </c>
      <c r="C39" s="1640">
        <v>4</v>
      </c>
      <c r="D39" s="5" t="str">
        <f>"Del dejen i "&amp;I7&amp;" klumper af ca. "&amp;ROUND(I8,0)&amp;" g."</f>
        <v>Del dejen i 6 klumper af ca. 270 g.</v>
      </c>
      <c r="E39" s="5"/>
      <c r="F39" s="5"/>
      <c r="G39" s="5"/>
      <c r="H39" s="5"/>
      <c r="I39" s="5"/>
      <c r="J39" s="5"/>
      <c r="K39" s="5"/>
      <c r="L39" s="756"/>
      <c r="M39" s="5"/>
      <c r="N39" s="5"/>
      <c r="O39" s="758"/>
      <c r="P39" s="644"/>
      <c r="Q39" s="607"/>
      <c r="R39" s="647"/>
      <c r="S39" s="695"/>
      <c r="T39" s="695"/>
      <c r="U39" s="695"/>
      <c r="V39" s="607"/>
      <c r="W39" s="607"/>
    </row>
    <row r="40" spans="1:23">
      <c r="A40" s="607"/>
      <c r="B40" s="44"/>
      <c r="O40" s="45"/>
      <c r="P40" s="644"/>
      <c r="Q40" s="607"/>
      <c r="R40" s="608"/>
      <c r="S40" s="608"/>
      <c r="T40" s="608"/>
      <c r="U40" s="608"/>
      <c r="V40" s="607"/>
      <c r="W40" s="607"/>
    </row>
    <row r="41" spans="1:23" ht="18">
      <c r="A41" s="607"/>
      <c r="B41" s="1398" t="s">
        <v>1034</v>
      </c>
      <c r="C41" s="1640">
        <v>5</v>
      </c>
      <c r="D41" s="5" t="s">
        <v>1110</v>
      </c>
      <c r="E41" s="5"/>
      <c r="F41" s="5"/>
      <c r="G41" s="5"/>
      <c r="H41" s="5"/>
      <c r="I41" s="5"/>
      <c r="J41" s="5"/>
      <c r="K41" s="5"/>
      <c r="L41" s="5"/>
      <c r="M41" s="5"/>
      <c r="N41" s="5"/>
      <c r="O41" s="758"/>
      <c r="P41" s="644"/>
      <c r="Q41" s="607"/>
      <c r="R41" s="1643"/>
      <c r="S41" s="1643"/>
      <c r="T41" s="1643"/>
      <c r="U41" s="608"/>
      <c r="V41" s="607"/>
      <c r="W41" s="607"/>
    </row>
    <row r="42" spans="1:23">
      <c r="A42" s="607"/>
      <c r="B42" s="44"/>
      <c r="D42" t="s">
        <v>1111</v>
      </c>
      <c r="O42" s="45"/>
      <c r="P42" s="644"/>
      <c r="Q42" s="607"/>
      <c r="R42" s="610"/>
      <c r="S42" s="608"/>
      <c r="T42" s="608"/>
      <c r="U42" s="608"/>
      <c r="V42" s="607"/>
      <c r="W42" s="607"/>
    </row>
    <row r="43" spans="1:23">
      <c r="A43" s="607"/>
      <c r="B43" s="44"/>
      <c r="D43" t="s">
        <v>1112</v>
      </c>
      <c r="O43" s="45"/>
      <c r="P43" s="644"/>
      <c r="Q43" s="607"/>
      <c r="R43" s="610"/>
      <c r="S43" s="608"/>
      <c r="T43" s="608"/>
      <c r="U43" s="608"/>
      <c r="V43" s="607"/>
      <c r="W43" s="607"/>
    </row>
    <row r="44" spans="1:23">
      <c r="A44" s="607"/>
      <c r="B44" s="44"/>
      <c r="O44" s="45"/>
      <c r="P44" s="644"/>
      <c r="Q44" s="607"/>
      <c r="R44" s="651"/>
      <c r="S44" s="608"/>
      <c r="T44" s="608"/>
      <c r="U44" s="607"/>
      <c r="V44" s="607"/>
      <c r="W44" s="607"/>
    </row>
    <row r="45" spans="1:23" ht="18">
      <c r="A45" s="607"/>
      <c r="B45" s="1398" t="s">
        <v>1034</v>
      </c>
      <c r="C45" s="1640">
        <v>6</v>
      </c>
      <c r="D45" s="5" t="s">
        <v>1122</v>
      </c>
      <c r="O45" s="45"/>
      <c r="P45" s="644"/>
      <c r="Q45" s="607"/>
      <c r="R45" s="608"/>
      <c r="S45" s="611"/>
      <c r="T45" s="611"/>
      <c r="U45" s="607"/>
      <c r="V45" s="607"/>
      <c r="W45" s="607"/>
    </row>
    <row r="46" spans="1:23">
      <c r="A46" s="607"/>
      <c r="B46" s="44"/>
      <c r="O46" s="45"/>
      <c r="P46" s="644"/>
      <c r="Q46" s="607"/>
      <c r="R46" s="608"/>
      <c r="S46" s="611"/>
      <c r="T46" s="611"/>
      <c r="U46" s="607"/>
      <c r="V46" s="607"/>
      <c r="W46" s="607"/>
    </row>
    <row r="47" spans="1:23">
      <c r="A47" s="607"/>
      <c r="B47" s="44"/>
      <c r="O47" s="45"/>
      <c r="P47" s="644"/>
      <c r="Q47" s="607"/>
      <c r="R47" s="607"/>
      <c r="S47" s="607"/>
      <c r="T47" s="607"/>
      <c r="U47" s="607"/>
      <c r="V47" s="607"/>
      <c r="W47" s="607"/>
    </row>
    <row r="48" spans="1:23">
      <c r="A48" s="607"/>
      <c r="B48" s="44"/>
      <c r="O48" s="45"/>
      <c r="P48" s="644"/>
      <c r="Q48" s="607"/>
      <c r="R48" s="607"/>
      <c r="S48" s="607"/>
      <c r="T48" s="607"/>
      <c r="U48" s="607"/>
      <c r="V48" s="607"/>
      <c r="W48" s="607"/>
    </row>
    <row r="49" spans="1:23" ht="17.25">
      <c r="A49" s="607"/>
      <c r="B49" s="2"/>
      <c r="C49" s="898" t="str">
        <f ca="1">"Dag "&amp;IF(S9="","4",_xlfn.DAYS(S21,S20)+1)</f>
        <v>Dag 2</v>
      </c>
      <c r="D49" s="3"/>
      <c r="E49" s="3"/>
      <c r="F49" s="3"/>
      <c r="G49" s="3"/>
      <c r="H49" s="3"/>
      <c r="I49" s="3"/>
      <c r="J49" s="3"/>
      <c r="K49" s="1795" t="str">
        <f ca="1">TEXT(S21,"dddd")</f>
        <v>fredag</v>
      </c>
      <c r="L49" s="1992">
        <f ca="1">IF($S$8="","",S21)</f>
        <v>45926.729166666664</v>
      </c>
      <c r="M49" s="1992"/>
      <c r="N49" s="1992"/>
      <c r="O49" s="6"/>
      <c r="P49" s="644"/>
      <c r="Q49" s="607"/>
      <c r="R49" s="607"/>
      <c r="S49" s="607"/>
      <c r="T49" s="607"/>
      <c r="U49" s="607"/>
      <c r="V49" s="607"/>
      <c r="W49" s="607"/>
    </row>
    <row r="50" spans="1:23">
      <c r="A50" s="607"/>
      <c r="B50" s="44"/>
      <c r="O50" s="45"/>
      <c r="P50" s="644"/>
      <c r="Q50" s="607"/>
      <c r="R50" s="607"/>
      <c r="S50" s="607"/>
      <c r="T50" s="607"/>
      <c r="U50" s="607"/>
      <c r="V50" s="607"/>
      <c r="W50" s="607"/>
    </row>
    <row r="51" spans="1:23" ht="18">
      <c r="A51" s="607"/>
      <c r="B51" s="1398" t="s">
        <v>1034</v>
      </c>
      <c r="C51" s="1640">
        <v>7</v>
      </c>
      <c r="D51" s="5" t="s">
        <v>1125</v>
      </c>
      <c r="E51" s="5"/>
      <c r="F51" s="5"/>
      <c r="G51" s="5"/>
      <c r="H51" s="5"/>
      <c r="I51" s="5"/>
      <c r="J51" s="5"/>
      <c r="K51" s="5"/>
      <c r="L51" s="5"/>
      <c r="M51" s="5"/>
      <c r="N51" s="5"/>
      <c r="O51" s="6"/>
      <c r="P51" s="644"/>
      <c r="Q51" s="607"/>
      <c r="R51" s="607"/>
      <c r="S51" s="607"/>
      <c r="T51" s="607"/>
      <c r="U51" s="607"/>
      <c r="V51" s="607"/>
      <c r="W51" s="607"/>
    </row>
    <row r="52" spans="1:23">
      <c r="A52" s="607"/>
      <c r="B52" s="44"/>
      <c r="D52" t="s">
        <v>1113</v>
      </c>
      <c r="O52" s="45"/>
      <c r="P52" s="644"/>
      <c r="Q52" s="607"/>
      <c r="R52" s="607"/>
      <c r="S52" s="607"/>
      <c r="T52" s="607"/>
      <c r="U52" s="607"/>
      <c r="V52" s="607"/>
      <c r="W52" s="607"/>
    </row>
    <row r="53" spans="1:23">
      <c r="A53" s="607"/>
      <c r="B53" s="2"/>
      <c r="C53" s="759"/>
      <c r="D53" s="759"/>
      <c r="E53" s="759"/>
      <c r="F53" s="759"/>
      <c r="G53" s="759"/>
      <c r="H53" s="759"/>
      <c r="I53" s="759"/>
      <c r="J53" s="759"/>
      <c r="K53" s="759"/>
      <c r="L53" s="759"/>
      <c r="M53" s="760"/>
      <c r="N53" s="760" t="s">
        <v>523</v>
      </c>
      <c r="O53" s="761"/>
      <c r="P53" s="644"/>
      <c r="Q53" s="607"/>
      <c r="R53" s="607"/>
      <c r="S53" s="607"/>
      <c r="T53" s="607"/>
      <c r="U53" s="607"/>
      <c r="V53" s="607"/>
      <c r="W53" s="607"/>
    </row>
    <row r="54" spans="1:23">
      <c r="A54" s="607"/>
      <c r="B54" s="607"/>
      <c r="C54" s="607"/>
      <c r="D54" s="607"/>
      <c r="E54" s="607"/>
      <c r="F54" s="607"/>
      <c r="G54" s="607"/>
      <c r="H54" s="607"/>
      <c r="I54" s="607"/>
      <c r="J54" s="607"/>
      <c r="K54" s="607"/>
      <c r="L54" s="607"/>
      <c r="M54" s="607"/>
      <c r="N54" s="607"/>
      <c r="O54" s="607"/>
      <c r="P54" s="644"/>
      <c r="Q54" s="607"/>
      <c r="R54" s="607"/>
      <c r="S54" s="607"/>
      <c r="T54" s="607"/>
      <c r="U54" s="607"/>
      <c r="V54" s="607"/>
      <c r="W54" s="607"/>
    </row>
    <row r="55" spans="1:23">
      <c r="A55" s="607"/>
      <c r="B55" s="607"/>
      <c r="C55" s="607"/>
      <c r="D55" s="607"/>
      <c r="E55" s="607"/>
      <c r="F55" s="607"/>
      <c r="G55" s="607"/>
      <c r="H55" s="607"/>
      <c r="I55" s="607"/>
      <c r="J55" s="607"/>
      <c r="K55" s="607"/>
      <c r="L55" s="607"/>
      <c r="M55" s="607"/>
      <c r="N55" s="607"/>
      <c r="O55" s="607"/>
      <c r="P55" s="644"/>
      <c r="Q55" s="607"/>
      <c r="R55" s="607"/>
      <c r="S55" s="607"/>
      <c r="T55" s="607"/>
      <c r="U55" s="607"/>
      <c r="V55" s="607"/>
      <c r="W55" s="607"/>
    </row>
    <row r="56" spans="1:23">
      <c r="A56" s="607"/>
      <c r="B56" s="607"/>
      <c r="C56" s="607"/>
      <c r="D56" s="607"/>
      <c r="E56" s="607"/>
      <c r="F56" s="607"/>
      <c r="G56" s="607"/>
      <c r="H56" s="607"/>
      <c r="I56" s="607"/>
      <c r="J56" s="607"/>
      <c r="K56" s="607"/>
      <c r="L56" s="607"/>
      <c r="M56" s="607"/>
      <c r="N56" s="607"/>
      <c r="O56" s="607"/>
      <c r="P56" s="644"/>
      <c r="Q56" s="607"/>
      <c r="R56" s="607"/>
      <c r="S56" s="607"/>
      <c r="T56" s="607"/>
      <c r="U56" s="607"/>
      <c r="V56" s="607"/>
      <c r="W56" s="607"/>
    </row>
    <row r="57" spans="1:23"/>
    <row r="58" spans="1:23"/>
    <row r="59" spans="1:23"/>
    <row r="60" spans="1:23"/>
    <row r="61" spans="1:23"/>
    <row r="62" spans="1:23"/>
    <row r="63" spans="1:23"/>
  </sheetData>
  <sheetProtection algorithmName="SHA-512" hashValue="4uVADHiKr4Ka5LAYQMpDYEUa+QAU+WKY76vKFiIVdZA4Gd7DY8i2z1gznXFLqyktRs6NLDy6KpnAu5Y9xNZIkg==" saltValue="d4PaxGUyhDTRov6NnOr6HQ==" spinCount="100000" sheet="1" objects="1" scenarios="1" selectLockedCells="1"/>
  <mergeCells count="13">
    <mergeCell ref="L49:N49"/>
    <mergeCell ref="S20:U20"/>
    <mergeCell ref="C2:N3"/>
    <mergeCell ref="K18:N18"/>
    <mergeCell ref="K19:N19"/>
    <mergeCell ref="S21:U21"/>
    <mergeCell ref="L29:N29"/>
    <mergeCell ref="Q5:V6"/>
    <mergeCell ref="T7:V7"/>
    <mergeCell ref="T8:V8"/>
    <mergeCell ref="U11:V11"/>
    <mergeCell ref="C15:J17"/>
    <mergeCell ref="M11:N11"/>
  </mergeCells>
  <dataValidations count="3">
    <dataValidation type="list" allowBlank="1" sqref="S8" xr:uid="{4FFB1158-DBA8-4219-B37C-3811D6125CBD}">
      <formula1>"11:30,12:00,12:30,13:00,17:00,17:30,18:00,18:30,19:00,19:30"</formula1>
    </dataValidation>
    <dataValidation type="list" allowBlank="1" showErrorMessage="1" sqref="L11" xr:uid="{A21F7144-79EB-4A3F-8372-74F26F81E815}">
      <formula1>$AB$7:$AB$9</formula1>
    </dataValidation>
    <dataValidation type="list" allowBlank="1" showErrorMessage="1" sqref="S7" xr:uid="{3593688F-2743-4837-8371-CFB0DA2D9B1B}">
      <formula1>"Mandag,Tirsdag,Onsdag,Torsdag,Fredag,Lørdag,Søndag"</formula1>
    </dataValidation>
  </dataValidations>
  <pageMargins left="0.25" right="0.25" top="0.75" bottom="0.75" header="0.3" footer="0.3"/>
  <pageSetup paperSize="9" scale="86"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09FB3-F1F8-4524-9128-635E1F3598EB}">
  <sheetPr codeName="Ark10">
    <tabColor rgb="FF92D050"/>
    <pageSetUpPr fitToPage="1"/>
  </sheetPr>
  <dimension ref="A1:P69"/>
  <sheetViews>
    <sheetView showGridLines="0" showRowColHeaders="0" workbookViewId="0">
      <pane ySplit="4" topLeftCell="A5" activePane="bottomLeft" state="frozen"/>
      <selection pane="bottomLeft" activeCell="J21" sqref="J21"/>
    </sheetView>
  </sheetViews>
  <sheetFormatPr defaultColWidth="0" defaultRowHeight="15" zeroHeight="1"/>
  <cols>
    <col min="1" max="1" width="2.5703125" customWidth="1"/>
    <col min="2" max="2" width="4.42578125" customWidth="1"/>
    <col min="3" max="3" width="13.140625" customWidth="1"/>
    <col min="4" max="5" width="16" customWidth="1"/>
    <col min="6" max="10" width="14.28515625" customWidth="1"/>
    <col min="11" max="11" width="4" customWidth="1"/>
    <col min="12" max="12" width="8.140625" customWidth="1"/>
    <col min="13" max="13" width="3.28515625" customWidth="1"/>
    <col min="14" max="16" width="0" hidden="1" customWidth="1"/>
    <col min="17" max="16384" width="9.140625" hidden="1"/>
  </cols>
  <sheetData>
    <row r="1" spans="1:13" ht="15" customHeight="1">
      <c r="A1" s="217"/>
      <c r="B1" s="217"/>
      <c r="C1" s="2084" t="s">
        <v>657</v>
      </c>
      <c r="D1" s="2084"/>
      <c r="E1" s="2085" t="s">
        <v>437</v>
      </c>
      <c r="F1" s="2085"/>
      <c r="G1" s="2086" t="s">
        <v>439</v>
      </c>
      <c r="H1" s="2086"/>
      <c r="I1" s="2087"/>
      <c r="J1" s="2087"/>
      <c r="K1" s="217"/>
      <c r="L1" s="217"/>
      <c r="M1" s="217"/>
    </row>
    <row r="2" spans="1:13" ht="15" customHeight="1">
      <c r="A2" s="217"/>
      <c r="B2" s="217"/>
      <c r="C2" s="2084"/>
      <c r="D2" s="2084"/>
      <c r="E2" s="2085"/>
      <c r="F2" s="2085"/>
      <c r="G2" s="2086"/>
      <c r="H2" s="2086"/>
      <c r="I2" s="2087"/>
      <c r="J2" s="2087"/>
      <c r="K2" s="217"/>
      <c r="L2" s="217"/>
      <c r="M2" s="217"/>
    </row>
    <row r="3" spans="1:13" ht="15" customHeight="1">
      <c r="A3" s="217"/>
      <c r="B3" s="217"/>
      <c r="C3" s="2084"/>
      <c r="D3" s="2084"/>
      <c r="E3" s="2088" t="s">
        <v>438</v>
      </c>
      <c r="F3" s="2088"/>
      <c r="G3" s="2090" t="s">
        <v>433</v>
      </c>
      <c r="H3" s="2090"/>
      <c r="I3" s="2092"/>
      <c r="J3" s="2092"/>
      <c r="K3" s="217"/>
      <c r="L3" s="217"/>
      <c r="M3" s="217"/>
    </row>
    <row r="4" spans="1:13" ht="15" customHeight="1" thickBot="1">
      <c r="A4" s="253"/>
      <c r="B4" s="253"/>
      <c r="C4" s="268"/>
      <c r="D4" s="268"/>
      <c r="E4" s="2089"/>
      <c r="F4" s="2089"/>
      <c r="G4" s="2091"/>
      <c r="H4" s="2091"/>
      <c r="I4" s="2093"/>
      <c r="J4" s="2093"/>
      <c r="K4" s="253"/>
      <c r="L4" s="253"/>
      <c r="M4" s="253"/>
    </row>
    <row r="5" spans="1:13" ht="16.5" thickTop="1" thickBot="1">
      <c r="A5" s="89"/>
      <c r="B5" s="89"/>
      <c r="C5" s="95"/>
      <c r="D5" s="95"/>
      <c r="E5" s="95"/>
      <c r="F5" s="95"/>
      <c r="G5" s="95"/>
      <c r="H5" s="89"/>
      <c r="I5" s="89"/>
      <c r="J5" s="89"/>
      <c r="K5" s="89"/>
      <c r="L5" s="89"/>
      <c r="M5" s="89"/>
    </row>
    <row r="6" spans="1:13" ht="14.25" customHeight="1">
      <c r="A6" s="2078"/>
      <c r="B6" s="2079" t="s">
        <v>260</v>
      </c>
      <c r="C6" s="2080"/>
      <c r="D6" s="2080"/>
      <c r="E6" s="2080"/>
      <c r="F6" s="2080"/>
      <c r="G6" s="2080"/>
      <c r="H6" s="2080"/>
      <c r="I6" s="299"/>
      <c r="J6" s="300"/>
      <c r="K6" s="300"/>
      <c r="L6" s="301"/>
      <c r="M6" s="89"/>
    </row>
    <row r="7" spans="1:13" ht="21.75" customHeight="1">
      <c r="A7" s="2078"/>
      <c r="B7" s="2081"/>
      <c r="C7" s="2082"/>
      <c r="D7" s="2082"/>
      <c r="E7" s="2082"/>
      <c r="F7" s="2082"/>
      <c r="G7" s="2082"/>
      <c r="H7" s="2082"/>
      <c r="I7" s="302"/>
      <c r="J7" s="303"/>
      <c r="K7" s="303"/>
      <c r="L7" s="304"/>
      <c r="M7" s="89"/>
    </row>
    <row r="8" spans="1:13" ht="15.75">
      <c r="A8" s="2078"/>
      <c r="B8" s="305" t="s">
        <v>261</v>
      </c>
      <c r="C8" s="302"/>
      <c r="D8" s="302"/>
      <c r="E8" s="302"/>
      <c r="F8" s="302"/>
      <c r="G8" s="302"/>
      <c r="H8" s="302"/>
      <c r="I8" s="302"/>
      <c r="J8" s="303"/>
      <c r="K8" s="303"/>
      <c r="L8" s="304"/>
      <c r="M8" s="89"/>
    </row>
    <row r="9" spans="1:13" ht="15.75">
      <c r="A9" s="2078"/>
      <c r="B9" s="316" t="s">
        <v>262</v>
      </c>
      <c r="C9" s="302"/>
      <c r="D9" s="302"/>
      <c r="E9" s="302"/>
      <c r="F9" s="302"/>
      <c r="G9" s="302"/>
      <c r="H9" s="302"/>
      <c r="I9" s="302"/>
      <c r="J9" s="303"/>
      <c r="K9" s="303"/>
      <c r="L9" s="304"/>
      <c r="M9" s="89"/>
    </row>
    <row r="10" spans="1:13" ht="15.75">
      <c r="A10" s="2078"/>
      <c r="B10" s="316" t="s">
        <v>263</v>
      </c>
      <c r="C10" s="302"/>
      <c r="D10" s="302"/>
      <c r="E10" s="302"/>
      <c r="F10" s="302"/>
      <c r="G10" s="302"/>
      <c r="H10" s="302"/>
      <c r="I10" s="302"/>
      <c r="J10" s="303"/>
      <c r="K10" s="303"/>
      <c r="L10" s="304"/>
      <c r="M10" s="89"/>
    </row>
    <row r="11" spans="1:13" ht="15.75">
      <c r="A11" s="2078"/>
      <c r="B11" s="316" t="s">
        <v>264</v>
      </c>
      <c r="C11" s="302"/>
      <c r="D11" s="302"/>
      <c r="E11" s="302"/>
      <c r="F11" s="302"/>
      <c r="G11" s="302"/>
      <c r="H11" s="302"/>
      <c r="I11" s="302"/>
      <c r="J11" s="303"/>
      <c r="K11" s="303"/>
      <c r="L11" s="304"/>
      <c r="M11" s="89"/>
    </row>
    <row r="12" spans="1:13" ht="15.75">
      <c r="A12" s="2078"/>
      <c r="B12" s="316"/>
      <c r="C12" s="302"/>
      <c r="D12" s="302"/>
      <c r="E12" s="302"/>
      <c r="F12" s="302"/>
      <c r="G12" s="302"/>
      <c r="H12" s="302"/>
      <c r="I12" s="302"/>
      <c r="J12" s="303"/>
      <c r="K12" s="303"/>
      <c r="L12" s="304"/>
      <c r="M12" s="89"/>
    </row>
    <row r="13" spans="1:13" ht="15.75">
      <c r="A13" s="2078"/>
      <c r="B13" s="316" t="s">
        <v>265</v>
      </c>
      <c r="C13" s="302"/>
      <c r="D13" s="302"/>
      <c r="E13" s="302"/>
      <c r="F13" s="302"/>
      <c r="G13" s="302"/>
      <c r="H13" s="302"/>
      <c r="I13" s="302"/>
      <c r="J13" s="303"/>
      <c r="K13" s="303"/>
      <c r="L13" s="304"/>
      <c r="M13" s="89"/>
    </row>
    <row r="14" spans="1:13" ht="27.75" customHeight="1" thickBot="1">
      <c r="A14" s="2078"/>
      <c r="B14" s="310" t="s">
        <v>266</v>
      </c>
      <c r="C14" s="318"/>
      <c r="D14" s="318"/>
      <c r="E14" s="318"/>
      <c r="F14" s="318"/>
      <c r="G14" s="318"/>
      <c r="H14" s="318"/>
      <c r="I14" s="318"/>
      <c r="J14" s="319"/>
      <c r="K14" s="319"/>
      <c r="L14" s="320"/>
      <c r="M14" s="89"/>
    </row>
    <row r="15" spans="1:13" ht="22.5" customHeight="1" thickBot="1">
      <c r="A15" s="89"/>
      <c r="B15" s="144"/>
      <c r="C15" s="144"/>
      <c r="D15" s="144"/>
      <c r="E15" s="144"/>
      <c r="F15" s="144"/>
      <c r="G15" s="144"/>
      <c r="H15" s="144"/>
      <c r="I15" s="144"/>
      <c r="J15" s="89"/>
      <c r="K15" s="89"/>
      <c r="L15" s="89"/>
      <c r="M15" s="89"/>
    </row>
    <row r="16" spans="1:13" ht="15" customHeight="1">
      <c r="A16" s="2078"/>
      <c r="B16" s="2079" t="s">
        <v>267</v>
      </c>
      <c r="C16" s="2080"/>
      <c r="D16" s="2080"/>
      <c r="E16" s="2080"/>
      <c r="F16" s="2080"/>
      <c r="G16" s="2080"/>
      <c r="H16" s="2080"/>
      <c r="I16" s="2080"/>
      <c r="J16" s="300"/>
      <c r="K16" s="300"/>
      <c r="L16" s="301"/>
      <c r="M16" s="89"/>
    </row>
    <row r="17" spans="1:13" ht="22.5" customHeight="1">
      <c r="A17" s="2078"/>
      <c r="B17" s="2081"/>
      <c r="C17" s="2082"/>
      <c r="D17" s="2082"/>
      <c r="E17" s="2082"/>
      <c r="F17" s="2082"/>
      <c r="G17" s="2082"/>
      <c r="H17" s="2082"/>
      <c r="I17" s="2082"/>
      <c r="J17" s="303"/>
      <c r="K17" s="303"/>
      <c r="L17" s="304"/>
      <c r="M17" s="89"/>
    </row>
    <row r="18" spans="1:13" ht="15.75">
      <c r="A18" s="2078"/>
      <c r="B18" s="305" t="s">
        <v>268</v>
      </c>
      <c r="C18" s="292"/>
      <c r="D18" s="302"/>
      <c r="E18" s="302"/>
      <c r="F18" s="302"/>
      <c r="G18" s="302"/>
      <c r="H18" s="302"/>
      <c r="I18" s="302"/>
      <c r="J18" s="303"/>
      <c r="K18" s="303"/>
      <c r="L18" s="304"/>
      <c r="M18" s="89"/>
    </row>
    <row r="19" spans="1:13" ht="15.75">
      <c r="A19" s="2078"/>
      <c r="B19" s="305" t="s">
        <v>304</v>
      </c>
      <c r="C19" s="292"/>
      <c r="D19" s="302"/>
      <c r="E19" s="302"/>
      <c r="F19" s="302"/>
      <c r="G19" s="302"/>
      <c r="H19" s="302"/>
      <c r="I19" s="302"/>
      <c r="J19" s="303"/>
      <c r="K19" s="303"/>
      <c r="L19" s="304"/>
      <c r="M19" s="89"/>
    </row>
    <row r="20" spans="1:13" ht="15.75">
      <c r="A20" s="2078"/>
      <c r="B20" s="305" t="s">
        <v>269</v>
      </c>
      <c r="C20" s="292"/>
      <c r="D20" s="302"/>
      <c r="E20" s="302"/>
      <c r="F20" s="302"/>
      <c r="G20" s="302"/>
      <c r="H20" s="302"/>
      <c r="I20" s="302"/>
      <c r="J20" s="303"/>
      <c r="K20" s="303"/>
      <c r="L20" s="304"/>
      <c r="M20" s="89"/>
    </row>
    <row r="21" spans="1:13" ht="15.75">
      <c r="A21" s="2078"/>
      <c r="B21" s="305" t="s">
        <v>270</v>
      </c>
      <c r="C21" s="292"/>
      <c r="D21" s="302"/>
      <c r="E21" s="302"/>
      <c r="F21" s="302"/>
      <c r="G21" s="302"/>
      <c r="H21" s="302"/>
      <c r="I21" s="302"/>
      <c r="J21" s="303"/>
      <c r="K21" s="303"/>
      <c r="L21" s="304"/>
      <c r="M21" s="89"/>
    </row>
    <row r="22" spans="1:13" ht="15.75">
      <c r="A22" s="2078"/>
      <c r="B22" s="305" t="s">
        <v>271</v>
      </c>
      <c r="C22" s="292"/>
      <c r="D22" s="302"/>
      <c r="E22" s="302"/>
      <c r="F22" s="302"/>
      <c r="G22" s="302"/>
      <c r="H22" s="302"/>
      <c r="I22" s="302"/>
      <c r="J22" s="303"/>
      <c r="K22" s="303"/>
      <c r="L22" s="304"/>
      <c r="M22" s="89"/>
    </row>
    <row r="23" spans="1:13" ht="15.75">
      <c r="A23" s="2078"/>
      <c r="B23" s="305" t="s">
        <v>272</v>
      </c>
      <c r="C23" s="292"/>
      <c r="D23" s="302"/>
      <c r="E23" s="302"/>
      <c r="F23" s="302"/>
      <c r="G23" s="302"/>
      <c r="H23" s="302"/>
      <c r="I23" s="302"/>
      <c r="J23" s="303"/>
      <c r="K23" s="303"/>
      <c r="L23" s="304"/>
      <c r="M23" s="89"/>
    </row>
    <row r="24" spans="1:13" ht="15.75">
      <c r="A24" s="2078"/>
      <c r="B24" s="305" t="s">
        <v>273</v>
      </c>
      <c r="C24" s="292"/>
      <c r="D24" s="302"/>
      <c r="E24" s="302"/>
      <c r="F24" s="302"/>
      <c r="G24" s="302"/>
      <c r="H24" s="302"/>
      <c r="I24" s="302"/>
      <c r="J24" s="303"/>
      <c r="K24" s="303"/>
      <c r="L24" s="304"/>
      <c r="M24" s="89"/>
    </row>
    <row r="25" spans="1:13" ht="15.75">
      <c r="A25" s="2078"/>
      <c r="B25" s="305" t="s">
        <v>274</v>
      </c>
      <c r="C25" s="292"/>
      <c r="D25" s="302"/>
      <c r="E25" s="302"/>
      <c r="F25" s="302"/>
      <c r="G25" s="302"/>
      <c r="H25" s="302"/>
      <c r="I25" s="302"/>
      <c r="J25" s="303"/>
      <c r="K25" s="303"/>
      <c r="L25" s="304"/>
      <c r="M25" s="89"/>
    </row>
    <row r="26" spans="1:13" ht="15.75">
      <c r="A26" s="2078"/>
      <c r="B26" s="305" t="s">
        <v>290</v>
      </c>
      <c r="C26" s="292"/>
      <c r="D26" s="302"/>
      <c r="E26" s="302"/>
      <c r="F26" s="302"/>
      <c r="G26" s="302"/>
      <c r="H26" s="302"/>
      <c r="I26" s="302"/>
      <c r="J26" s="303"/>
      <c r="K26" s="303"/>
      <c r="L26" s="304"/>
      <c r="M26" s="89"/>
    </row>
    <row r="27" spans="1:13" ht="15.75">
      <c r="A27" s="2078"/>
      <c r="B27" s="305" t="s">
        <v>291</v>
      </c>
      <c r="C27" s="292"/>
      <c r="D27" s="302"/>
      <c r="E27" s="302"/>
      <c r="F27" s="302"/>
      <c r="G27" s="302"/>
      <c r="H27" s="302"/>
      <c r="I27" s="302"/>
      <c r="J27" s="303"/>
      <c r="K27" s="303"/>
      <c r="L27" s="304"/>
      <c r="M27" s="89"/>
    </row>
    <row r="28" spans="1:13" ht="15.75">
      <c r="A28" s="2078"/>
      <c r="B28" s="316"/>
      <c r="C28" s="292"/>
      <c r="D28" s="302"/>
      <c r="E28" s="302"/>
      <c r="F28" s="302"/>
      <c r="G28" s="302"/>
      <c r="H28" s="302"/>
      <c r="I28" s="302"/>
      <c r="J28" s="303"/>
      <c r="K28" s="303"/>
      <c r="L28" s="304"/>
      <c r="M28" s="89"/>
    </row>
    <row r="29" spans="1:13" ht="15.75">
      <c r="A29" s="2078"/>
      <c r="B29" s="305" t="s">
        <v>292</v>
      </c>
      <c r="C29" s="292"/>
      <c r="D29" s="302"/>
      <c r="E29" s="302"/>
      <c r="F29" s="302"/>
      <c r="G29" s="302"/>
      <c r="H29" s="302"/>
      <c r="I29" s="302"/>
      <c r="J29" s="303"/>
      <c r="K29" s="303"/>
      <c r="L29" s="304"/>
      <c r="M29" s="89"/>
    </row>
    <row r="30" spans="1:13" ht="15.75">
      <c r="A30" s="2078"/>
      <c r="B30" s="305" t="s">
        <v>293</v>
      </c>
      <c r="C30" s="292"/>
      <c r="D30" s="302"/>
      <c r="E30" s="302"/>
      <c r="F30" s="302"/>
      <c r="G30" s="302"/>
      <c r="H30" s="302"/>
      <c r="I30" s="302"/>
      <c r="J30" s="303"/>
      <c r="K30" s="303"/>
      <c r="L30" s="304"/>
      <c r="M30" s="89"/>
    </row>
    <row r="31" spans="1:13" ht="15.75">
      <c r="A31" s="2078"/>
      <c r="B31" s="305" t="s">
        <v>275</v>
      </c>
      <c r="C31" s="292"/>
      <c r="D31" s="302"/>
      <c r="E31" s="302"/>
      <c r="F31" s="302"/>
      <c r="G31" s="302"/>
      <c r="H31" s="302"/>
      <c r="I31" s="302"/>
      <c r="J31" s="303"/>
      <c r="K31" s="303"/>
      <c r="L31" s="304"/>
      <c r="M31" s="89"/>
    </row>
    <row r="32" spans="1:13" ht="15.75">
      <c r="A32" s="2078"/>
      <c r="B32" s="305" t="s">
        <v>276</v>
      </c>
      <c r="C32" s="292"/>
      <c r="D32" s="302"/>
      <c r="E32" s="302"/>
      <c r="F32" s="302"/>
      <c r="G32" s="302"/>
      <c r="H32" s="302"/>
      <c r="I32" s="302"/>
      <c r="J32" s="303"/>
      <c r="K32" s="303"/>
      <c r="L32" s="304"/>
      <c r="M32" s="89"/>
    </row>
    <row r="33" spans="1:13" ht="15.75">
      <c r="A33" s="2078"/>
      <c r="B33" s="305" t="s">
        <v>277</v>
      </c>
      <c r="C33" s="292"/>
      <c r="D33" s="302"/>
      <c r="E33" s="302"/>
      <c r="F33" s="302"/>
      <c r="G33" s="302"/>
      <c r="H33" s="302"/>
      <c r="I33" s="302"/>
      <c r="J33" s="303"/>
      <c r="K33" s="303"/>
      <c r="L33" s="304"/>
      <c r="M33" s="89"/>
    </row>
    <row r="34" spans="1:13" ht="15.75">
      <c r="A34" s="2078"/>
      <c r="B34" s="305" t="s">
        <v>294</v>
      </c>
      <c r="C34" s="292"/>
      <c r="D34" s="302"/>
      <c r="E34" s="302"/>
      <c r="F34" s="302"/>
      <c r="G34" s="302"/>
      <c r="H34" s="302"/>
      <c r="I34" s="302"/>
      <c r="J34" s="303"/>
      <c r="K34" s="303"/>
      <c r="L34" s="304"/>
      <c r="M34" s="89"/>
    </row>
    <row r="35" spans="1:13" ht="15.75">
      <c r="A35" s="2078"/>
      <c r="B35" s="305" t="s">
        <v>295</v>
      </c>
      <c r="C35" s="292"/>
      <c r="D35" s="302"/>
      <c r="E35" s="302"/>
      <c r="F35" s="302"/>
      <c r="G35" s="302"/>
      <c r="H35" s="302"/>
      <c r="I35" s="302"/>
      <c r="J35" s="303"/>
      <c r="K35" s="303"/>
      <c r="L35" s="304"/>
      <c r="M35" s="89"/>
    </row>
    <row r="36" spans="1:13" ht="15.75">
      <c r="A36" s="2078"/>
      <c r="B36" s="316"/>
      <c r="C36" s="292"/>
      <c r="D36" s="302"/>
      <c r="E36" s="302"/>
      <c r="F36" s="302"/>
      <c r="G36" s="302"/>
      <c r="H36" s="302"/>
      <c r="I36" s="302"/>
      <c r="J36" s="303"/>
      <c r="K36" s="303"/>
      <c r="L36" s="304"/>
      <c r="M36" s="89"/>
    </row>
    <row r="37" spans="1:13" ht="15.75">
      <c r="A37" s="2078"/>
      <c r="B37" s="305" t="s">
        <v>278</v>
      </c>
      <c r="C37" s="292"/>
      <c r="D37" s="302"/>
      <c r="E37" s="302"/>
      <c r="F37" s="302"/>
      <c r="G37" s="302"/>
      <c r="H37" s="302"/>
      <c r="I37" s="302"/>
      <c r="J37" s="303"/>
      <c r="K37" s="303"/>
      <c r="L37" s="304"/>
      <c r="M37" s="89"/>
    </row>
    <row r="38" spans="1:13" ht="15.75">
      <c r="A38" s="2078"/>
      <c r="B38" s="305" t="s">
        <v>296</v>
      </c>
      <c r="C38" s="292"/>
      <c r="D38" s="302"/>
      <c r="E38" s="302"/>
      <c r="F38" s="302"/>
      <c r="G38" s="302"/>
      <c r="H38" s="302"/>
      <c r="I38" s="302"/>
      <c r="J38" s="303"/>
      <c r="K38" s="303"/>
      <c r="L38" s="304"/>
      <c r="M38" s="89"/>
    </row>
    <row r="39" spans="1:13" ht="15.75">
      <c r="A39" s="2078"/>
      <c r="B39" s="316" t="s">
        <v>279</v>
      </c>
      <c r="C39" s="292"/>
      <c r="D39" s="302"/>
      <c r="E39" s="302"/>
      <c r="F39" s="302"/>
      <c r="G39" s="302"/>
      <c r="H39" s="302"/>
      <c r="I39" s="302"/>
      <c r="J39" s="303"/>
      <c r="K39" s="303"/>
      <c r="L39" s="304"/>
      <c r="M39" s="89"/>
    </row>
    <row r="40" spans="1:13" ht="25.5" customHeight="1" thickBot="1">
      <c r="A40" s="2078"/>
      <c r="B40" s="310" t="s">
        <v>280</v>
      </c>
      <c r="C40" s="317"/>
      <c r="D40" s="318"/>
      <c r="E40" s="318"/>
      <c r="F40" s="318"/>
      <c r="G40" s="318"/>
      <c r="H40" s="318"/>
      <c r="I40" s="318"/>
      <c r="J40" s="319"/>
      <c r="K40" s="319"/>
      <c r="L40" s="320"/>
      <c r="M40" s="89"/>
    </row>
    <row r="41" spans="1:13" ht="22.5" customHeight="1" thickBot="1">
      <c r="A41" s="89"/>
      <c r="B41" s="94"/>
      <c r="C41" s="94"/>
      <c r="D41" s="94"/>
      <c r="E41" s="94"/>
      <c r="F41" s="94"/>
      <c r="G41" s="94"/>
      <c r="H41" s="94"/>
      <c r="I41" s="94"/>
      <c r="J41" s="89"/>
      <c r="K41" s="89"/>
      <c r="L41" s="89"/>
      <c r="M41" s="89"/>
    </row>
    <row r="42" spans="1:13" ht="22.5" customHeight="1">
      <c r="A42" s="2078"/>
      <c r="B42" s="2079" t="s">
        <v>303</v>
      </c>
      <c r="C42" s="2080"/>
      <c r="D42" s="2080"/>
      <c r="E42" s="2080"/>
      <c r="F42" s="2080"/>
      <c r="G42" s="299"/>
      <c r="H42" s="299"/>
      <c r="I42" s="299"/>
      <c r="J42" s="300"/>
      <c r="K42" s="300"/>
      <c r="L42" s="301"/>
      <c r="M42" s="89"/>
    </row>
    <row r="43" spans="1:13" ht="17.25" customHeight="1">
      <c r="A43" s="2078"/>
      <c r="B43" s="2081"/>
      <c r="C43" s="2082"/>
      <c r="D43" s="2082"/>
      <c r="E43" s="2082"/>
      <c r="F43" s="2082"/>
      <c r="G43" s="302"/>
      <c r="H43" s="302"/>
      <c r="I43" s="302"/>
      <c r="J43" s="303"/>
      <c r="K43" s="303"/>
      <c r="L43" s="304"/>
      <c r="M43" s="89"/>
    </row>
    <row r="44" spans="1:13" ht="15.75">
      <c r="A44" s="2078"/>
      <c r="B44" s="305" t="s">
        <v>281</v>
      </c>
      <c r="C44" s="292"/>
      <c r="D44" s="292"/>
      <c r="E44" s="306"/>
      <c r="F44" s="307" t="s">
        <v>286</v>
      </c>
      <c r="G44" s="292"/>
      <c r="H44" s="292"/>
      <c r="I44" s="292"/>
      <c r="J44" s="226"/>
      <c r="K44" s="226"/>
      <c r="L44" s="308"/>
      <c r="M44" s="89"/>
    </row>
    <row r="45" spans="1:13" ht="15.75">
      <c r="A45" s="2078"/>
      <c r="B45" s="305" t="s">
        <v>282</v>
      </c>
      <c r="C45" s="292"/>
      <c r="D45" s="292"/>
      <c r="E45" s="306"/>
      <c r="F45" s="307" t="s">
        <v>287</v>
      </c>
      <c r="G45" s="292"/>
      <c r="H45" s="292"/>
      <c r="I45" s="292"/>
      <c r="J45" s="226"/>
      <c r="K45" s="226"/>
      <c r="L45" s="308"/>
      <c r="M45" s="89"/>
    </row>
    <row r="46" spans="1:13" ht="15.75">
      <c r="A46" s="2078"/>
      <c r="B46" s="305" t="s">
        <v>283</v>
      </c>
      <c r="C46" s="292"/>
      <c r="D46" s="292"/>
      <c r="E46" s="306"/>
      <c r="F46" s="307" t="s">
        <v>297</v>
      </c>
      <c r="G46" s="292"/>
      <c r="H46" s="292"/>
      <c r="I46" s="292"/>
      <c r="J46" s="226"/>
      <c r="K46" s="226"/>
      <c r="L46" s="308"/>
      <c r="M46" s="89"/>
    </row>
    <row r="47" spans="1:13" ht="15.75">
      <c r="A47" s="2078"/>
      <c r="B47" s="305" t="s">
        <v>284</v>
      </c>
      <c r="C47" s="292"/>
      <c r="D47" s="292"/>
      <c r="E47" s="306"/>
      <c r="F47" s="309" t="s">
        <v>298</v>
      </c>
      <c r="G47" s="292"/>
      <c r="H47" s="292"/>
      <c r="I47" s="292"/>
      <c r="J47" s="226"/>
      <c r="K47" s="226"/>
      <c r="L47" s="308"/>
      <c r="M47" s="89"/>
    </row>
    <row r="48" spans="1:13" ht="15.75">
      <c r="A48" s="2078"/>
      <c r="B48" s="305" t="s">
        <v>285</v>
      </c>
      <c r="C48" s="292"/>
      <c r="D48" s="292"/>
      <c r="E48" s="306"/>
      <c r="F48" s="307" t="s">
        <v>288</v>
      </c>
      <c r="G48" s="292"/>
      <c r="H48" s="292"/>
      <c r="I48" s="292"/>
      <c r="J48" s="226"/>
      <c r="K48" s="226"/>
      <c r="L48" s="308"/>
      <c r="M48" s="89"/>
    </row>
    <row r="49" spans="1:13" ht="25.5" customHeight="1" thickBot="1">
      <c r="A49" s="2078"/>
      <c r="B49" s="310" t="s">
        <v>88</v>
      </c>
      <c r="C49" s="311"/>
      <c r="D49" s="311"/>
      <c r="E49" s="312"/>
      <c r="F49" s="311" t="s">
        <v>289</v>
      </c>
      <c r="G49" s="313"/>
      <c r="H49" s="313"/>
      <c r="I49" s="313"/>
      <c r="J49" s="314"/>
      <c r="K49" s="314"/>
      <c r="L49" s="315"/>
      <c r="M49" s="89"/>
    </row>
    <row r="50" spans="1:13">
      <c r="A50" s="89"/>
      <c r="B50" s="89"/>
      <c r="C50" s="89"/>
      <c r="D50" s="89"/>
      <c r="E50" s="89"/>
      <c r="F50" s="89"/>
      <c r="G50" s="89"/>
      <c r="H50" s="89"/>
      <c r="I50" s="89"/>
      <c r="J50" s="89"/>
      <c r="K50" s="89"/>
      <c r="L50" s="89"/>
      <c r="M50" s="89"/>
    </row>
    <row r="51" spans="1:13">
      <c r="A51" s="2077"/>
      <c r="B51" s="2083" t="s">
        <v>433</v>
      </c>
      <c r="C51" s="2083"/>
      <c r="D51" s="2083"/>
      <c r="E51" s="2083"/>
      <c r="F51" s="2083"/>
      <c r="M51" s="89"/>
    </row>
    <row r="52" spans="1:13" ht="20.25" customHeight="1">
      <c r="A52" s="2077"/>
      <c r="B52" s="2083"/>
      <c r="C52" s="2083"/>
      <c r="D52" s="2083"/>
      <c r="E52" s="2083"/>
      <c r="F52" s="2083"/>
      <c r="M52" s="89"/>
    </row>
    <row r="53" spans="1:13" s="105" customFormat="1" ht="15.75">
      <c r="A53" s="2077"/>
      <c r="C53" s="105" t="s">
        <v>468</v>
      </c>
      <c r="M53" s="103"/>
    </row>
    <row r="54" spans="1:13" s="105" customFormat="1" ht="15.75">
      <c r="A54" s="2077"/>
      <c r="M54" s="103"/>
    </row>
    <row r="55" spans="1:13" s="105" customFormat="1" ht="15.75">
      <c r="A55" s="2077"/>
      <c r="C55" s="297" t="s">
        <v>460</v>
      </c>
      <c r="M55" s="103"/>
    </row>
    <row r="56" spans="1:13" s="105" customFormat="1" ht="15.75">
      <c r="A56" s="2077"/>
      <c r="C56" s="297" t="s">
        <v>461</v>
      </c>
      <c r="M56" s="103"/>
    </row>
    <row r="57" spans="1:13" s="105" customFormat="1" ht="15.75">
      <c r="A57" s="2077"/>
      <c r="C57" s="297" t="s">
        <v>469</v>
      </c>
      <c r="M57" s="103"/>
    </row>
    <row r="58" spans="1:13" s="105" customFormat="1" ht="15.75">
      <c r="A58" s="2077"/>
      <c r="M58" s="103"/>
    </row>
    <row r="59" spans="1:13" s="105" customFormat="1" ht="15.75">
      <c r="A59" s="2077"/>
      <c r="C59" s="105" t="s">
        <v>462</v>
      </c>
      <c r="M59" s="103"/>
    </row>
    <row r="60" spans="1:13" s="105" customFormat="1" ht="15.75">
      <c r="A60" s="2077"/>
      <c r="C60" s="105" t="s">
        <v>463</v>
      </c>
      <c r="M60" s="103"/>
    </row>
    <row r="61" spans="1:13" s="105" customFormat="1" ht="15.75">
      <c r="A61" s="2077"/>
      <c r="C61" s="105" t="s">
        <v>464</v>
      </c>
      <c r="M61" s="103"/>
    </row>
    <row r="62" spans="1:13" s="105" customFormat="1" ht="15.75">
      <c r="A62" s="2077"/>
      <c r="M62" s="103"/>
    </row>
    <row r="63" spans="1:13" s="105" customFormat="1" ht="15.75">
      <c r="A63" s="2077"/>
      <c r="C63" s="105" t="s">
        <v>465</v>
      </c>
      <c r="M63" s="103"/>
    </row>
    <row r="64" spans="1:13" s="105" customFormat="1" ht="15.75">
      <c r="A64" s="2077"/>
      <c r="C64" s="105" t="s">
        <v>467</v>
      </c>
      <c r="M64" s="103"/>
    </row>
    <row r="65" spans="1:13" s="105" customFormat="1" ht="15.75">
      <c r="A65" s="2077"/>
      <c r="M65" s="103"/>
    </row>
    <row r="66" spans="1:13" s="105" customFormat="1" ht="15.75">
      <c r="A66" s="2077"/>
      <c r="C66" s="105" t="s">
        <v>466</v>
      </c>
      <c r="M66" s="103"/>
    </row>
    <row r="67" spans="1:13" s="105" customFormat="1" ht="15.75">
      <c r="A67" s="2077"/>
      <c r="C67" s="105" t="s">
        <v>470</v>
      </c>
      <c r="M67" s="103"/>
    </row>
    <row r="68" spans="1:13" s="105" customFormat="1" ht="15.75">
      <c r="A68" s="2077"/>
      <c r="M68" s="103"/>
    </row>
    <row r="69" spans="1:13">
      <c r="A69" s="89"/>
      <c r="B69" s="89"/>
      <c r="C69" s="89"/>
      <c r="D69" s="89"/>
      <c r="E69" s="89"/>
      <c r="F69" s="89"/>
      <c r="G69" s="89"/>
      <c r="H69" s="89"/>
      <c r="I69" s="89"/>
      <c r="J69" s="89"/>
      <c r="K69" s="89"/>
      <c r="L69" s="89"/>
      <c r="M69" s="89"/>
    </row>
  </sheetData>
  <sheetProtection algorithmName="SHA-512" hashValue="Ou4K74rfCdiwGWsf4qs35LpKTOz7GkNW2zTZJuwGxaqtaudVZv1QKDNnxfTxP7gdD+D2Lde5yeuAI3Jv7jafKw==" saltValue="LkgehRPwqaZ/z9OQfdBWRQ==" spinCount="100000" sheet="1" objects="1" scenarios="1"/>
  <mergeCells count="15">
    <mergeCell ref="C1:D3"/>
    <mergeCell ref="E1:F2"/>
    <mergeCell ref="G1:H2"/>
    <mergeCell ref="I1:J2"/>
    <mergeCell ref="E3:F4"/>
    <mergeCell ref="G3:H4"/>
    <mergeCell ref="I3:J4"/>
    <mergeCell ref="A51:A68"/>
    <mergeCell ref="A42:A49"/>
    <mergeCell ref="A16:A40"/>
    <mergeCell ref="A6:A14"/>
    <mergeCell ref="B16:I17"/>
    <mergeCell ref="B6:H7"/>
    <mergeCell ref="B42:F43"/>
    <mergeCell ref="B51:F52"/>
  </mergeCells>
  <conditionalFormatting sqref="C66:C67">
    <cfRule type="duplicateValues" dxfId="0" priority="1"/>
  </conditionalFormatting>
  <hyperlinks>
    <hyperlink ref="E1:F2" location="Spread!A6" display="Chili-pasta" xr:uid="{EEACE2BD-ABF8-45DA-9362-266C5BB1E720}"/>
    <hyperlink ref="E3:F4" location="Spread!A16" display="Chili-sauce" xr:uid="{2C40CA6D-3D03-4527-A796-130707A33342}"/>
    <hyperlink ref="G1:H2" location="Spread!A41" display="Chili-marmelade" xr:uid="{23B9E362-CBB9-4212-A61B-5C36EE286D12}"/>
    <hyperlink ref="G3:H4" location="Spread!A51" display="Hvidløgsolie" xr:uid="{F9A1A19D-D0EA-42A9-BC14-D6A423A79321}"/>
    <hyperlink ref="C1:D3" location="Spread!A1" display="TOP ⤴" xr:uid="{063778D5-164B-4E7B-9863-BBFC39DE01D8}"/>
  </hyperlinks>
  <pageMargins left="0.19685039370078741" right="0.19685039370078741" top="0.19685039370078741" bottom="0.19685039370078741" header="0" footer="0"/>
  <pageSetup paperSize="9" scale="74"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5F79A-49F1-4380-9029-B20CD1E8D0B2}">
  <sheetPr codeName="Ark12">
    <tabColor theme="4" tint="0.39997558519241921"/>
    <pageSetUpPr fitToPage="1"/>
  </sheetPr>
  <dimension ref="A1:W66"/>
  <sheetViews>
    <sheetView showRowColHeaders="0" zoomScale="85" zoomScaleNormal="85" workbookViewId="0">
      <pane ySplit="4" topLeftCell="A5" activePane="bottomLeft" state="frozen"/>
      <selection pane="bottomLeft" activeCell="D44" sqref="D44:E44"/>
    </sheetView>
  </sheetViews>
  <sheetFormatPr defaultColWidth="0" defaultRowHeight="15.75" zeroHeight="1"/>
  <cols>
    <col min="1" max="1" width="3" style="224" customWidth="1"/>
    <col min="2" max="2" width="4.42578125" style="224" customWidth="1"/>
    <col min="3" max="5" width="16" style="224" customWidth="1"/>
    <col min="6" max="9" width="14.28515625" style="224" customWidth="1"/>
    <col min="10" max="10" width="15.5703125" style="246" customWidth="1"/>
    <col min="11" max="11" width="4" style="224" customWidth="1"/>
    <col min="12" max="12" width="2.7109375" style="224" customWidth="1"/>
    <col min="13" max="14" width="10.42578125" style="224" hidden="1" customWidth="1"/>
    <col min="15" max="15" width="16.140625" style="224" hidden="1" customWidth="1"/>
    <col min="16" max="16" width="10.140625" style="224" hidden="1" customWidth="1"/>
    <col min="17" max="17" width="12.42578125" style="224" hidden="1" customWidth="1"/>
    <col min="18" max="18" width="10.140625" style="246" hidden="1" customWidth="1"/>
    <col min="19" max="19" width="11.85546875" style="246" hidden="1" customWidth="1"/>
    <col min="20" max="20" width="16.140625" style="246" hidden="1" customWidth="1"/>
    <col min="21" max="21" width="19.5703125" style="224" hidden="1" customWidth="1"/>
    <col min="22" max="16384" width="10.42578125" style="224" hidden="1"/>
  </cols>
  <sheetData>
    <row r="1" spans="1:13" ht="15.75" customHeight="1">
      <c r="A1" s="259"/>
      <c r="B1" s="259"/>
      <c r="C1" s="2106"/>
      <c r="D1" s="2107"/>
      <c r="E1" s="2113"/>
      <c r="F1" s="2113"/>
      <c r="G1" s="2113"/>
      <c r="H1" s="2113"/>
      <c r="I1" s="2110"/>
      <c r="J1" s="2110"/>
      <c r="K1" s="510"/>
      <c r="L1" s="259"/>
    </row>
    <row r="2" spans="1:13" ht="15.75" customHeight="1">
      <c r="A2" s="259"/>
      <c r="B2" s="259"/>
      <c r="C2" s="2107"/>
      <c r="D2" s="2107"/>
      <c r="E2" s="2113"/>
      <c r="F2" s="2113"/>
      <c r="G2" s="2113"/>
      <c r="H2" s="2113"/>
      <c r="I2" s="2110"/>
      <c r="J2" s="2110"/>
      <c r="K2" s="510"/>
      <c r="L2" s="259"/>
    </row>
    <row r="3" spans="1:13" ht="15.75" customHeight="1">
      <c r="A3" s="259"/>
      <c r="B3" s="259"/>
      <c r="C3" s="2107"/>
      <c r="D3" s="2107"/>
      <c r="E3" s="2111"/>
      <c r="F3" s="2111"/>
      <c r="G3" s="2111"/>
      <c r="H3" s="2111"/>
      <c r="I3" s="2108"/>
      <c r="J3" s="2108"/>
      <c r="K3" s="510"/>
      <c r="L3" s="259"/>
    </row>
    <row r="4" spans="1:13" ht="15.75" customHeight="1" thickBot="1">
      <c r="A4" s="260"/>
      <c r="B4" s="260"/>
      <c r="C4" s="261"/>
      <c r="D4" s="261"/>
      <c r="E4" s="2111"/>
      <c r="F4" s="2111"/>
      <c r="G4" s="2111"/>
      <c r="H4" s="2112"/>
      <c r="I4" s="2109"/>
      <c r="J4" s="2109"/>
      <c r="K4" s="511"/>
      <c r="L4" s="262"/>
      <c r="M4" s="225"/>
    </row>
    <row r="5" spans="1:13" ht="15.75" customHeight="1" thickTop="1">
      <c r="A5" s="263"/>
      <c r="B5" s="263"/>
      <c r="C5" s="264"/>
      <c r="D5" s="264"/>
      <c r="E5" s="296"/>
      <c r="F5" s="296"/>
      <c r="G5" s="296"/>
      <c r="H5" s="265"/>
      <c r="I5" s="266"/>
      <c r="J5" s="266"/>
      <c r="K5" s="263"/>
      <c r="L5" s="267"/>
      <c r="M5" s="225"/>
    </row>
    <row r="6" spans="1:13">
      <c r="A6" s="2103"/>
      <c r="B6" s="502"/>
      <c r="C6" s="503"/>
      <c r="D6" s="486"/>
      <c r="E6" s="486"/>
      <c r="F6" s="486"/>
      <c r="G6" s="486"/>
      <c r="H6" s="486"/>
      <c r="I6" s="486"/>
      <c r="J6" s="503"/>
      <c r="K6" s="487"/>
      <c r="L6" s="228"/>
      <c r="M6" s="225"/>
    </row>
    <row r="7" spans="1:13" ht="26.25">
      <c r="A7" s="2103"/>
      <c r="B7" s="490"/>
      <c r="C7" s="504" t="s">
        <v>522</v>
      </c>
      <c r="D7" s="226"/>
      <c r="E7" s="226"/>
      <c r="F7" s="226"/>
      <c r="G7" s="226"/>
      <c r="H7" s="226"/>
      <c r="I7" s="226"/>
      <c r="J7" s="227"/>
      <c r="K7" s="489"/>
      <c r="L7" s="228"/>
      <c r="M7" s="225"/>
    </row>
    <row r="8" spans="1:13">
      <c r="A8" s="2103"/>
      <c r="B8" s="490"/>
      <c r="C8" s="227"/>
      <c r="D8" s="226"/>
      <c r="E8" s="226"/>
      <c r="F8" s="226"/>
      <c r="G8" s="226"/>
      <c r="H8" s="226"/>
      <c r="I8" s="226"/>
      <c r="J8" s="227"/>
      <c r="K8" s="489"/>
      <c r="L8" s="228"/>
      <c r="M8" s="225"/>
    </row>
    <row r="9" spans="1:13">
      <c r="A9" s="2103"/>
      <c r="B9" s="490"/>
      <c r="C9" s="2100" t="s">
        <v>432</v>
      </c>
      <c r="D9" s="2100"/>
      <c r="E9" s="2100"/>
      <c r="F9" s="2100"/>
      <c r="G9" s="2100"/>
      <c r="H9" s="2100"/>
      <c r="I9" s="2100"/>
      <c r="J9" s="2100"/>
      <c r="K9" s="489"/>
      <c r="L9" s="228"/>
    </row>
    <row r="10" spans="1:13">
      <c r="A10" s="2103"/>
      <c r="B10" s="490"/>
      <c r="C10" s="2100"/>
      <c r="D10" s="2100"/>
      <c r="E10" s="2100"/>
      <c r="F10" s="2100"/>
      <c r="G10" s="2100"/>
      <c r="H10" s="2100"/>
      <c r="I10" s="2100"/>
      <c r="J10" s="2100"/>
      <c r="K10" s="489"/>
      <c r="L10" s="228"/>
    </row>
    <row r="11" spans="1:13">
      <c r="A11" s="2103"/>
      <c r="B11" s="490"/>
      <c r="C11" s="2100"/>
      <c r="D11" s="2100"/>
      <c r="E11" s="2100"/>
      <c r="F11" s="2100"/>
      <c r="G11" s="2100"/>
      <c r="H11" s="2100"/>
      <c r="I11" s="2100"/>
      <c r="J11" s="2100"/>
      <c r="K11" s="489"/>
      <c r="L11" s="228"/>
    </row>
    <row r="12" spans="1:13">
      <c r="A12" s="2103"/>
      <c r="B12" s="490"/>
      <c r="C12" s="2100"/>
      <c r="D12" s="2100"/>
      <c r="E12" s="2100"/>
      <c r="F12" s="2100"/>
      <c r="G12" s="2100"/>
      <c r="H12" s="2100"/>
      <c r="I12" s="2100"/>
      <c r="J12" s="2100"/>
      <c r="K12" s="489"/>
      <c r="L12" s="228"/>
    </row>
    <row r="13" spans="1:13">
      <c r="A13" s="2103"/>
      <c r="B13" s="490"/>
      <c r="C13" s="229"/>
      <c r="D13" s="230" t="s">
        <v>426</v>
      </c>
      <c r="E13" s="230" t="s">
        <v>429</v>
      </c>
      <c r="F13" s="229" t="s">
        <v>401</v>
      </c>
      <c r="G13" s="231" t="s">
        <v>409</v>
      </c>
      <c r="H13" s="232" t="s">
        <v>425</v>
      </c>
      <c r="I13" s="229" t="s">
        <v>402</v>
      </c>
      <c r="J13" s="233" t="s">
        <v>427</v>
      </c>
      <c r="K13" s="489"/>
      <c r="L13" s="210"/>
    </row>
    <row r="14" spans="1:13">
      <c r="A14" s="2103"/>
      <c r="B14" s="490"/>
      <c r="C14" s="226" t="s">
        <v>412</v>
      </c>
      <c r="D14" s="234">
        <v>190</v>
      </c>
      <c r="E14" s="234">
        <v>150</v>
      </c>
      <c r="F14" s="226" t="s">
        <v>414</v>
      </c>
      <c r="G14" s="227">
        <v>4</v>
      </c>
      <c r="H14" s="243" t="s">
        <v>410</v>
      </c>
      <c r="I14" s="226" t="s">
        <v>408</v>
      </c>
      <c r="J14" s="235" t="s">
        <v>424</v>
      </c>
      <c r="K14" s="489"/>
      <c r="L14" s="210"/>
    </row>
    <row r="15" spans="1:13">
      <c r="A15" s="2103"/>
      <c r="B15" s="490"/>
      <c r="C15" s="226" t="s">
        <v>398</v>
      </c>
      <c r="D15" s="505">
        <v>275</v>
      </c>
      <c r="E15" s="505">
        <v>220</v>
      </c>
      <c r="F15" s="226" t="s">
        <v>415</v>
      </c>
      <c r="G15" s="227">
        <v>6</v>
      </c>
      <c r="H15" s="243" t="s">
        <v>410</v>
      </c>
      <c r="I15" s="226" t="s">
        <v>405</v>
      </c>
      <c r="J15" s="235" t="s">
        <v>421</v>
      </c>
      <c r="K15" s="489"/>
      <c r="L15" s="210"/>
    </row>
    <row r="16" spans="1:13">
      <c r="A16" s="2103"/>
      <c r="B16" s="490"/>
      <c r="C16" s="226" t="s">
        <v>397</v>
      </c>
      <c r="D16" s="505">
        <v>375</v>
      </c>
      <c r="E16" s="505">
        <v>300</v>
      </c>
      <c r="F16" s="226" t="s">
        <v>416</v>
      </c>
      <c r="G16" s="227">
        <v>8</v>
      </c>
      <c r="H16" s="243" t="s">
        <v>537</v>
      </c>
      <c r="I16" s="226" t="s">
        <v>406</v>
      </c>
      <c r="J16" s="235" t="s">
        <v>422</v>
      </c>
      <c r="K16" s="489"/>
      <c r="L16" s="210"/>
    </row>
    <row r="17" spans="1:23">
      <c r="A17" s="2103"/>
      <c r="B17" s="490"/>
      <c r="C17" s="236" t="s">
        <v>413</v>
      </c>
      <c r="D17" s="237">
        <v>490</v>
      </c>
      <c r="E17" s="237">
        <v>390</v>
      </c>
      <c r="F17" s="236" t="s">
        <v>417</v>
      </c>
      <c r="G17" s="238">
        <v>10</v>
      </c>
      <c r="H17" s="298" t="s">
        <v>411</v>
      </c>
      <c r="I17" s="236" t="s">
        <v>407</v>
      </c>
      <c r="J17" s="239" t="s">
        <v>423</v>
      </c>
      <c r="K17" s="489"/>
      <c r="L17" s="210"/>
      <c r="O17" s="793" t="s">
        <v>409</v>
      </c>
      <c r="T17" s="792" t="s">
        <v>409</v>
      </c>
      <c r="V17" s="792"/>
    </row>
    <row r="18" spans="1:23">
      <c r="A18" s="2103"/>
      <c r="B18" s="490"/>
      <c r="C18" s="226"/>
      <c r="D18" s="226"/>
      <c r="E18" s="226"/>
      <c r="F18" s="226"/>
      <c r="G18" s="226"/>
      <c r="H18" s="506"/>
      <c r="I18" s="226"/>
      <c r="J18" s="227"/>
      <c r="K18" s="489"/>
      <c r="L18" s="210"/>
      <c r="O18" s="791" t="s">
        <v>739</v>
      </c>
      <c r="P18" s="231" t="s">
        <v>737</v>
      </c>
      <c r="Q18" s="231" t="s">
        <v>738</v>
      </c>
      <c r="T18" s="1819" t="s">
        <v>740</v>
      </c>
      <c r="U18" s="231" t="s">
        <v>372</v>
      </c>
      <c r="V18" s="246"/>
    </row>
    <row r="19" spans="1:23" ht="15.75" customHeight="1">
      <c r="A19" s="2103"/>
      <c r="B19" s="490"/>
      <c r="C19" s="798" t="str">
        <f>"Voksne spiser ca. "&amp;P19&amp;"-"&amp;Q19&amp;" slices."</f>
        <v>Voksne spiser ca. 4-5 slices.</v>
      </c>
      <c r="D19" s="226"/>
      <c r="E19" s="794"/>
      <c r="F19" s="795"/>
      <c r="G19" s="226"/>
      <c r="H19" s="2104"/>
      <c r="I19" s="2104"/>
      <c r="J19" s="2104"/>
      <c r="K19" s="489"/>
      <c r="L19" s="210"/>
      <c r="O19" s="790" t="s">
        <v>735</v>
      </c>
      <c r="P19" s="246">
        <v>4</v>
      </c>
      <c r="Q19" s="246">
        <v>5</v>
      </c>
      <c r="T19" s="1820" t="s">
        <v>735</v>
      </c>
      <c r="U19" s="246">
        <f>E23</f>
        <v>0</v>
      </c>
      <c r="V19" s="246"/>
    </row>
    <row r="20" spans="1:23">
      <c r="A20" s="2103"/>
      <c r="B20" s="490"/>
      <c r="C20" s="798" t="str">
        <f>"Børn spiser ca. "&amp;P20&amp;"-"&amp;Q20&amp;" slices."</f>
        <v>Børn spiser ca. 2-3 slices.</v>
      </c>
      <c r="D20" s="226"/>
      <c r="E20" s="794"/>
      <c r="F20" s="795"/>
      <c r="G20" s="226"/>
      <c r="H20" s="2105"/>
      <c r="I20" s="2105"/>
      <c r="J20" s="2105"/>
      <c r="K20" s="489"/>
      <c r="L20" s="210"/>
      <c r="O20" s="790" t="s">
        <v>736</v>
      </c>
      <c r="P20" s="246">
        <v>2</v>
      </c>
      <c r="Q20" s="246">
        <v>3</v>
      </c>
      <c r="T20" s="1820" t="s">
        <v>736</v>
      </c>
      <c r="U20" s="246">
        <f>E24</f>
        <v>0</v>
      </c>
      <c r="V20" s="246"/>
    </row>
    <row r="21" spans="1:23">
      <c r="A21" s="2103"/>
      <c r="B21" s="490"/>
      <c r="C21" s="226"/>
      <c r="D21" s="226"/>
      <c r="E21" s="226"/>
      <c r="F21" s="226"/>
      <c r="G21" s="226"/>
      <c r="H21" s="226"/>
      <c r="I21" s="226"/>
      <c r="J21" s="227"/>
      <c r="K21" s="489"/>
      <c r="L21" s="210"/>
    </row>
    <row r="22" spans="1:23">
      <c r="A22" s="2103"/>
      <c r="B22" s="490"/>
      <c r="C22" s="233" t="s">
        <v>372</v>
      </c>
      <c r="D22" s="230" t="str">
        <f>IF(OR(E23&lt;&gt;"",E24&lt;&gt;""),"","Slices")</f>
        <v>Slices</v>
      </c>
      <c r="E22" s="233" t="str">
        <f>IF(OR(E23&lt;&gt;"",E24&lt;&gt;""),"Slices","Evt.rettelse")</f>
        <v>Evt.rettelse</v>
      </c>
      <c r="F22" s="226"/>
      <c r="G22" s="229" t="s">
        <v>741</v>
      </c>
      <c r="H22" s="236"/>
      <c r="I22" s="236"/>
      <c r="J22" s="238"/>
      <c r="K22" s="489"/>
      <c r="L22" s="210"/>
      <c r="O22" s="229" t="s">
        <v>428</v>
      </c>
      <c r="P22" s="236"/>
      <c r="Q22" s="236"/>
      <c r="R22" s="238"/>
      <c r="T22" s="233" t="s">
        <v>428</v>
      </c>
      <c r="U22" s="236"/>
      <c r="V22" s="236"/>
      <c r="W22" s="238"/>
    </row>
    <row r="23" spans="1:23">
      <c r="A23" s="2103"/>
      <c r="B23" s="490"/>
      <c r="C23" s="796"/>
      <c r="D23" s="227" t="str">
        <f>IF(OR(E23&lt;&gt;"",E24&lt;&gt;""),"",P19&amp;"-"&amp;Q19&amp;" slices")</f>
        <v>4-5 slices</v>
      </c>
      <c r="E23" s="799"/>
      <c r="F23" s="788"/>
      <c r="G23" s="2097" t="s">
        <v>403</v>
      </c>
      <c r="H23" s="227" t="str">
        <f>IF(OR(E23&lt;&gt;"",E24&lt;&gt;""),U23,P23)</f>
        <v>0-0 stk.</v>
      </c>
      <c r="I23" s="2097" t="s">
        <v>398</v>
      </c>
      <c r="J23" s="321" t="str">
        <f>IF(OR(E23&lt;&gt;"",E24&lt;&gt;""),W23,R23)</f>
        <v>0-0 stk.</v>
      </c>
      <c r="K23" s="489"/>
      <c r="L23" s="210"/>
      <c r="O23" s="2097" t="s">
        <v>403</v>
      </c>
      <c r="P23" s="227" t="str">
        <f>ROUND((C23*4+C24*2)/4,0)&amp;"-"&amp;ROUNDUP((C23*5+C24*3)/4,0)&amp;" stk."</f>
        <v>0-0 stk.</v>
      </c>
      <c r="Q23" s="2097" t="s">
        <v>398</v>
      </c>
      <c r="R23" s="321" t="str">
        <f>ROUND((C23*4+C24*2)/6,0)&amp;"-"&amp;ROUNDUP((C23*5+C24*3)/6,0)&amp;" stk."</f>
        <v>0-0 stk.</v>
      </c>
      <c r="T23" s="2097" t="s">
        <v>403</v>
      </c>
      <c r="U23" s="227" t="str">
        <f>ROUNDUP((C23*U19+C24*U20)/G14,0)&amp;" stk."</f>
        <v>0 stk.</v>
      </c>
      <c r="V23" s="2097" t="s">
        <v>398</v>
      </c>
      <c r="W23" s="321" t="str">
        <f>ROUNDUP((C23*U19+C24*U20)/G15,0)&amp;" stk."</f>
        <v>0 stk.</v>
      </c>
    </row>
    <row r="24" spans="1:23" ht="15.75" customHeight="1">
      <c r="A24" s="2103"/>
      <c r="B24" s="490"/>
      <c r="C24" s="797"/>
      <c r="D24" s="227" t="str">
        <f>IF(OR(E23&lt;&gt;"",E24&lt;&gt;""),"",P20&amp;"-"&amp;Q20&amp;" slices")</f>
        <v>2-3 slices</v>
      </c>
      <c r="E24" s="799"/>
      <c r="F24" s="226"/>
      <c r="G24" s="2098"/>
      <c r="H24" s="322" t="str">
        <f>IF(OR(E23&lt;&gt;"",E24&lt;&gt;""),U24,P24)</f>
        <v>(0-0 slices)</v>
      </c>
      <c r="I24" s="2098"/>
      <c r="J24" s="322" t="str">
        <f>IF(OR(E23&lt;&gt;"",E24&lt;&gt;""),W24,R24)</f>
        <v>(0-0 slices)</v>
      </c>
      <c r="K24" s="489"/>
      <c r="L24" s="210"/>
      <c r="O24" s="2098"/>
      <c r="P24" s="322" t="str">
        <f>"("&amp;ROUND((C23*4+C24*2)/4,0)*G14&amp;"-"&amp;ROUNDUP((C23*5+C24*3)/4,0)*G14&amp;" slices)"</f>
        <v>(0-0 slices)</v>
      </c>
      <c r="Q24" s="2098"/>
      <c r="R24" s="322" t="str">
        <f>"("&amp;ROUND((C23*4+C24*2)/G15,0)*G15&amp;"-"&amp;ROUNDUP((C23*5+C24*3)/G15,0)*G15&amp;" slices)"</f>
        <v>(0-0 slices)</v>
      </c>
      <c r="S24" s="1821"/>
      <c r="T24" s="2098"/>
      <c r="U24" s="322" t="str">
        <f>"giver "&amp;ROUNDUP((C23*U19+C24*U20)/G14,0)*G14&amp;" slices"</f>
        <v>giver 0 slices</v>
      </c>
      <c r="V24" s="2098"/>
      <c r="W24" s="322" t="str">
        <f>"giver "&amp;ROUNDUP((C23*U19+C24*U20)/G15,0)*G15&amp;" slices"</f>
        <v>giver 0 slices</v>
      </c>
    </row>
    <row r="25" spans="1:23">
      <c r="A25" s="2103"/>
      <c r="B25" s="490"/>
      <c r="C25" s="226"/>
      <c r="D25" s="226"/>
      <c r="E25" s="226"/>
      <c r="F25" s="226"/>
      <c r="G25" s="2097" t="s">
        <v>397</v>
      </c>
      <c r="H25" s="227" t="str">
        <f>IF(OR(E23&lt;&gt;"",E24&lt;&gt;""),U25,P25)</f>
        <v>0-0 stk.</v>
      </c>
      <c r="I25" s="2097" t="s">
        <v>404</v>
      </c>
      <c r="J25" s="321" t="str">
        <f>IF(OR(E23&lt;&gt;"",E24&lt;&gt;""),W25,R25)</f>
        <v>0-0 stk.</v>
      </c>
      <c r="K25" s="489"/>
      <c r="L25" s="210"/>
      <c r="O25" s="2097" t="s">
        <v>397</v>
      </c>
      <c r="P25" s="227" t="str">
        <f>ROUND((C23*4+C24*2)/8,0)&amp;"-"&amp;ROUNDUP((C23*5+C24*3)/8,0)&amp;" stk."</f>
        <v>0-0 stk.</v>
      </c>
      <c r="Q25" s="2097" t="s">
        <v>404</v>
      </c>
      <c r="R25" s="321" t="str">
        <f>ROUND((C23*4+C24*2)/10,0)&amp;"-"&amp;ROUNDUP((C23*5+C24*3)/10,0)&amp;" stk."</f>
        <v>0-0 stk.</v>
      </c>
      <c r="S25" s="1821"/>
      <c r="T25" s="2097" t="s">
        <v>397</v>
      </c>
      <c r="U25" s="227" t="str">
        <f>ROUNDUP((C23*U19+C24*U20)/G16,0)&amp;" stk."</f>
        <v>0 stk.</v>
      </c>
      <c r="V25" s="2097" t="s">
        <v>404</v>
      </c>
      <c r="W25" s="321" t="str">
        <f>ROUNDUP((C23*U19+C24*U20)/G17,0)&amp;" stk."</f>
        <v>0 stk.</v>
      </c>
    </row>
    <row r="26" spans="1:23" ht="15.75" customHeight="1">
      <c r="A26" s="2103"/>
      <c r="B26" s="490"/>
      <c r="C26" s="2099" t="str">
        <f>IF(E23&lt;&gt;"","Der skal i alt påregnes "&amp;E23*C23+E24*C24&amp;" slices, ","Der skal i alt påregnes "&amp;C23*4+C24*2&amp;"-"&amp;C23*5+C24*3&amp;" slices, ")</f>
        <v xml:space="preserve">Der skal i alt påregnes 0-0 slices, </v>
      </c>
      <c r="D26" s="2099"/>
      <c r="E26" s="2099"/>
      <c r="F26" s="240"/>
      <c r="G26" s="2098"/>
      <c r="H26" s="322" t="str">
        <f>IF(OR(E23&lt;&gt;"",E24&lt;&gt;""),U26,P26)</f>
        <v>(0-0 slices)</v>
      </c>
      <c r="I26" s="2098"/>
      <c r="J26" s="322" t="str">
        <f>IF(OR(E23&lt;&gt;"",E24&lt;&gt;""),W26,R26)</f>
        <v>(0-0 slices)</v>
      </c>
      <c r="K26" s="489"/>
      <c r="L26" s="210"/>
      <c r="O26" s="2098"/>
      <c r="P26" s="322" t="str">
        <f>"("&amp;ROUND((C23*4+C24*2)/G16,0)*G16&amp;"-"&amp;ROUNDUP((C23*5+C24*3)/G16,0)*G16&amp;" slices)"</f>
        <v>(0-0 slices)</v>
      </c>
      <c r="Q26" s="2098"/>
      <c r="R26" s="322" t="str">
        <f>"("&amp;ROUND((C23*4+C24*2)/G17,0)*G17&amp;"-"&amp;ROUNDUP((C23*5+C24*3)/G17,0)*G17&amp;" slices)"</f>
        <v>(0-0 slices)</v>
      </c>
      <c r="T26" s="2098"/>
      <c r="U26" s="322" t="str">
        <f>"giver "&amp;ROUNDUP((C23*U19+C24*U20)/G16,0)*G16&amp;" slices"</f>
        <v>giver 0 slices</v>
      </c>
      <c r="V26" s="2098"/>
      <c r="W26" s="322" t="str">
        <f>"giver "&amp;ROUNDUP((C23*U19+C24*U20)/G17,0)*G17&amp;" slices"</f>
        <v>giver 0 slices</v>
      </c>
    </row>
    <row r="27" spans="1:23" ht="16.5" customHeight="1" thickBot="1">
      <c r="A27" s="2103"/>
      <c r="B27" s="490"/>
      <c r="C27" s="2099" t="str">
        <f>IF(E23&lt;&gt;"","svarende til "&amp;IF(OR(E23&lt;&gt;"",E24&lt;&gt;""),W23,R23)&amp;" medium pizza.","svarende til "&amp;ROUND((C23*4+C24*2)/6,0)&amp;"-"&amp;ROUNDUP((C23*5+C24*3)/6,0)&amp;" stk. medium pizza.")</f>
        <v>svarende til 0-0 stk. medium pizza.</v>
      </c>
      <c r="D27" s="2099"/>
      <c r="E27" s="2099"/>
      <c r="F27" s="240"/>
      <c r="G27" s="240"/>
      <c r="H27" s="240"/>
      <c r="I27" s="240"/>
      <c r="J27" s="240"/>
      <c r="K27" s="489"/>
      <c r="L27" s="210"/>
      <c r="N27" s="789"/>
      <c r="O27" s="789"/>
      <c r="P27" s="789"/>
      <c r="Q27" s="789"/>
      <c r="R27" s="1822"/>
    </row>
    <row r="28" spans="1:23" ht="16.5" thickBot="1">
      <c r="A28" s="2103"/>
      <c r="B28" s="490"/>
      <c r="C28" s="226"/>
      <c r="D28" s="226"/>
      <c r="E28" s="226"/>
      <c r="F28" s="226"/>
      <c r="G28" s="226"/>
      <c r="H28" s="226"/>
      <c r="I28" s="226"/>
      <c r="J28" s="227"/>
      <c r="K28" s="489"/>
      <c r="L28" s="210"/>
      <c r="N28" s="789"/>
      <c r="O28" s="789"/>
      <c r="P28" s="789"/>
      <c r="Q28" s="789"/>
      <c r="R28" s="1822"/>
    </row>
    <row r="29" spans="1:23" ht="14.25" customHeight="1" thickBot="1">
      <c r="A29" s="2103"/>
      <c r="B29" s="226"/>
      <c r="C29" s="508"/>
      <c r="D29" s="508"/>
      <c r="E29" s="508"/>
      <c r="F29" s="508"/>
      <c r="G29" s="508"/>
      <c r="H29" s="508"/>
      <c r="I29" s="508"/>
      <c r="J29" s="509"/>
      <c r="K29" s="226"/>
      <c r="L29" s="210"/>
      <c r="N29" s="789"/>
      <c r="O29" s="789"/>
      <c r="P29" s="789"/>
      <c r="Q29" s="789"/>
      <c r="R29" s="1822"/>
    </row>
    <row r="30" spans="1:23">
      <c r="A30" s="2103"/>
      <c r="B30" s="488"/>
      <c r="C30" s="226"/>
      <c r="D30" s="226"/>
      <c r="E30" s="226"/>
      <c r="F30" s="226"/>
      <c r="G30" s="226"/>
      <c r="H30" s="226"/>
      <c r="I30" s="226"/>
      <c r="J30" s="226"/>
      <c r="K30" s="489"/>
      <c r="L30" s="210"/>
    </row>
    <row r="31" spans="1:23" ht="26.25">
      <c r="A31" s="2103"/>
      <c r="B31" s="488"/>
      <c r="C31" s="250" t="s">
        <v>539</v>
      </c>
      <c r="D31" s="226"/>
      <c r="E31" s="226"/>
      <c r="F31" s="226"/>
      <c r="G31" s="226"/>
      <c r="H31" s="226"/>
      <c r="I31" s="226"/>
      <c r="J31" s="226"/>
      <c r="K31" s="489"/>
      <c r="L31" s="210"/>
    </row>
    <row r="32" spans="1:23">
      <c r="A32" s="2103"/>
      <c r="B32" s="490"/>
      <c r="C32" s="241"/>
      <c r="D32" s="226"/>
      <c r="E32" s="226"/>
      <c r="F32" s="226"/>
      <c r="G32" s="226"/>
      <c r="H32" s="226"/>
      <c r="I32" s="226"/>
      <c r="J32" s="226"/>
      <c r="K32" s="489"/>
      <c r="L32" s="210"/>
    </row>
    <row r="33" spans="1:21" ht="18.75">
      <c r="A33" s="2103"/>
      <c r="B33" s="488"/>
      <c r="C33" s="2100" t="s">
        <v>478</v>
      </c>
      <c r="D33" s="2100"/>
      <c r="E33" s="2100"/>
      <c r="F33" s="226"/>
      <c r="G33" s="491" t="s">
        <v>538</v>
      </c>
      <c r="H33" s="226"/>
      <c r="I33" s="226"/>
      <c r="J33" s="226"/>
      <c r="K33" s="489"/>
      <c r="L33" s="210"/>
    </row>
    <row r="34" spans="1:21" ht="15.75" customHeight="1">
      <c r="A34" s="2103"/>
      <c r="B34" s="488"/>
      <c r="C34" s="2100"/>
      <c r="D34" s="2100"/>
      <c r="E34" s="2100"/>
      <c r="F34" s="240"/>
      <c r="G34" s="292" t="s">
        <v>479</v>
      </c>
      <c r="H34" s="492"/>
      <c r="I34" s="589"/>
      <c r="J34" s="2101" t="str">
        <f>ROUND((I34*I35)*0.579,0)&amp;" g. dej"</f>
        <v>0 g. dej</v>
      </c>
      <c r="K34" s="2102"/>
      <c r="L34" s="210"/>
    </row>
    <row r="35" spans="1:21">
      <c r="A35" s="2103"/>
      <c r="B35" s="488"/>
      <c r="C35" s="226"/>
      <c r="D35" s="226"/>
      <c r="E35" s="226"/>
      <c r="F35" s="240"/>
      <c r="G35" s="292" t="s">
        <v>480</v>
      </c>
      <c r="H35" s="492"/>
      <c r="I35" s="589"/>
      <c r="J35" s="2101"/>
      <c r="K35" s="2102"/>
      <c r="L35" s="210"/>
    </row>
    <row r="36" spans="1:21">
      <c r="A36" s="2103"/>
      <c r="B36" s="490"/>
      <c r="C36" s="226"/>
      <c r="D36" s="226"/>
      <c r="E36" s="226"/>
      <c r="F36" s="226"/>
      <c r="G36" s="226"/>
      <c r="H36" s="226"/>
      <c r="I36" s="226"/>
      <c r="J36" s="227"/>
      <c r="K36" s="489"/>
      <c r="L36" s="210"/>
    </row>
    <row r="37" spans="1:21" s="245" customFormat="1" ht="18.75">
      <c r="A37" s="2103"/>
      <c r="B37" s="488"/>
      <c r="C37" s="493"/>
      <c r="D37" s="494"/>
      <c r="E37" s="494"/>
      <c r="F37" s="494"/>
      <c r="G37" s="495" t="s">
        <v>541</v>
      </c>
      <c r="H37" s="226"/>
      <c r="I37" s="226"/>
      <c r="J37" s="496"/>
      <c r="K37" s="497"/>
      <c r="L37" s="213"/>
      <c r="R37" s="1823"/>
      <c r="S37" s="1823"/>
      <c r="T37" s="1823"/>
    </row>
    <row r="38" spans="1:21" ht="14.25" customHeight="1">
      <c r="A38" s="2103"/>
      <c r="B38" s="490"/>
      <c r="C38" s="226"/>
      <c r="D38" s="226"/>
      <c r="E38" s="226"/>
      <c r="F38" s="226"/>
      <c r="G38" s="292" t="s">
        <v>540</v>
      </c>
      <c r="H38" s="492"/>
      <c r="I38" s="589"/>
      <c r="J38" s="2101" t="str">
        <f>ROUND((I38/2)*(I38/2)*3.14*0.6,0)&amp;" g. dej"</f>
        <v>0 g. dej</v>
      </c>
      <c r="K38" s="2102"/>
      <c r="L38" s="210"/>
      <c r="N38" s="1849"/>
      <c r="O38" s="1849"/>
      <c r="P38" s="1849"/>
      <c r="Q38" s="1849"/>
      <c r="R38" s="1850"/>
    </row>
    <row r="39" spans="1:21" ht="14.25" customHeight="1">
      <c r="A39" s="2103"/>
      <c r="B39" s="498"/>
      <c r="C39" s="499"/>
      <c r="D39" s="499"/>
      <c r="E39" s="499"/>
      <c r="F39" s="499"/>
      <c r="G39" s="499"/>
      <c r="H39" s="499"/>
      <c r="I39" s="499"/>
      <c r="J39" s="500"/>
      <c r="K39" s="501"/>
      <c r="L39" s="210"/>
      <c r="N39" s="1849"/>
      <c r="O39" s="1849"/>
      <c r="P39" s="1849"/>
      <c r="Q39" s="1849"/>
      <c r="R39" s="1850"/>
    </row>
    <row r="40" spans="1:21" ht="14.25" customHeight="1">
      <c r="A40" s="210"/>
      <c r="B40" s="210"/>
      <c r="C40" s="210"/>
      <c r="D40" s="210"/>
      <c r="E40" s="210"/>
      <c r="F40" s="210"/>
      <c r="G40" s="210"/>
      <c r="H40" s="210"/>
      <c r="I40" s="210"/>
      <c r="J40" s="242"/>
      <c r="K40" s="210"/>
      <c r="L40" s="210"/>
      <c r="N40" s="1849"/>
      <c r="O40" s="1849"/>
      <c r="P40" s="1849"/>
      <c r="Q40" s="1849"/>
      <c r="R40" s="1850"/>
    </row>
    <row r="41" spans="1:21" customFormat="1">
      <c r="A41" s="89"/>
      <c r="B41" s="303"/>
      <c r="C41" s="303"/>
      <c r="D41" s="303"/>
      <c r="E41" s="303"/>
      <c r="F41" s="303"/>
      <c r="G41" s="303"/>
      <c r="H41" s="303"/>
      <c r="I41" s="303"/>
      <c r="J41" s="303"/>
      <c r="K41" s="303"/>
      <c r="L41" s="98"/>
      <c r="N41" s="1815"/>
      <c r="O41" s="1816" t="s">
        <v>953</v>
      </c>
      <c r="P41" s="1816" t="s">
        <v>1298</v>
      </c>
      <c r="Q41" s="1816" t="s">
        <v>1299</v>
      </c>
      <c r="R41" s="1816" t="s">
        <v>1303</v>
      </c>
      <c r="S41" s="1816" t="s">
        <v>1300</v>
      </c>
      <c r="T41" s="1825" t="s">
        <v>1304</v>
      </c>
      <c r="U41" s="224"/>
    </row>
    <row r="42" spans="1:21" customFormat="1" ht="26.25">
      <c r="A42" s="89"/>
      <c r="B42" s="303"/>
      <c r="C42" s="504" t="s">
        <v>1308</v>
      </c>
      <c r="D42" s="1817"/>
      <c r="E42" s="1817"/>
      <c r="F42" s="1817"/>
      <c r="G42" s="1817"/>
      <c r="H42" s="1817"/>
      <c r="I42" s="1817"/>
      <c r="J42" s="1817"/>
      <c r="K42" s="1817"/>
      <c r="L42" s="104"/>
      <c r="N42" s="1851" t="s">
        <v>1296</v>
      </c>
      <c r="O42" s="1847">
        <v>2.8333333333333299</v>
      </c>
      <c r="P42" s="1847">
        <v>4</v>
      </c>
      <c r="Q42" s="1848">
        <v>2.5</v>
      </c>
      <c r="R42" s="1848">
        <v>2.3333333333333299</v>
      </c>
      <c r="S42" s="1848">
        <v>0.83333333333333304</v>
      </c>
      <c r="T42" s="105" t="s">
        <v>1309</v>
      </c>
      <c r="U42" s="224"/>
    </row>
    <row r="43" spans="1:21" s="105" customFormat="1">
      <c r="A43" s="103"/>
      <c r="B43" s="226"/>
      <c r="C43" s="226"/>
      <c r="D43" s="226"/>
      <c r="E43" s="226"/>
      <c r="F43" s="226"/>
      <c r="G43" s="2096" t="str">
        <f>VLOOKUP(D44,N42:T44,7,FALSE)</f>
        <v>Round Pizza (Non-Neapolitan) har typisk en tyndere bund. Lidt lettere mængder toppings sikrer, at bunden bager ordentligt og ikke bliver for tung.</v>
      </c>
      <c r="H43" s="2096"/>
      <c r="I43" s="2096"/>
      <c r="J43" s="2096"/>
      <c r="K43" s="226"/>
      <c r="L43" s="104"/>
      <c r="N43" s="1851" t="s">
        <v>1297</v>
      </c>
      <c r="O43" s="1847">
        <v>2.66</v>
      </c>
      <c r="P43" s="1847">
        <v>2.3333333333333299</v>
      </c>
      <c r="Q43" s="1848">
        <v>1.3333333333333299</v>
      </c>
      <c r="R43" s="1848">
        <v>1.3333333333333299</v>
      </c>
      <c r="S43" s="1848">
        <v>0.67</v>
      </c>
      <c r="T43" s="105" t="s">
        <v>1305</v>
      </c>
    </row>
    <row r="44" spans="1:21" s="105" customFormat="1">
      <c r="A44" s="103"/>
      <c r="B44" s="226"/>
      <c r="C44" s="241" t="s">
        <v>1291</v>
      </c>
      <c r="D44" s="2094" t="s">
        <v>1296</v>
      </c>
      <c r="E44" s="2095"/>
      <c r="F44" s="226"/>
      <c r="G44" s="2096"/>
      <c r="H44" s="2096"/>
      <c r="I44" s="2096"/>
      <c r="J44" s="2096"/>
      <c r="K44" s="226"/>
      <c r="L44" s="104"/>
      <c r="N44" s="1851"/>
      <c r="O44" s="1847"/>
      <c r="P44" s="1847"/>
      <c r="Q44" s="1848"/>
      <c r="R44" s="1848"/>
      <c r="S44" s="1848"/>
    </row>
    <row r="45" spans="1:21" s="105" customFormat="1">
      <c r="A45" s="103"/>
      <c r="B45" s="226"/>
      <c r="C45" s="241"/>
      <c r="D45" s="226"/>
      <c r="E45" s="226"/>
      <c r="F45" s="226"/>
      <c r="G45" s="2096"/>
      <c r="H45" s="2096"/>
      <c r="I45" s="2096"/>
      <c r="J45" s="2096"/>
      <c r="K45" s="226"/>
      <c r="L45" s="104"/>
      <c r="N45" s="939"/>
      <c r="O45" s="1816" t="s">
        <v>953</v>
      </c>
      <c r="P45" s="1816" t="s">
        <v>1298</v>
      </c>
      <c r="Q45" s="1816" t="s">
        <v>1299</v>
      </c>
      <c r="R45" s="1816" t="s">
        <v>1303</v>
      </c>
      <c r="S45" s="1816" t="s">
        <v>1300</v>
      </c>
      <c r="T45" s="436"/>
    </row>
    <row r="46" spans="1:21" s="105" customFormat="1">
      <c r="A46" s="103"/>
      <c r="B46" s="226"/>
      <c r="C46" s="241" t="s">
        <v>1292</v>
      </c>
      <c r="D46" s="226"/>
      <c r="E46" s="1818">
        <v>30</v>
      </c>
      <c r="F46" s="226"/>
      <c r="G46" s="2096"/>
      <c r="H46" s="2096"/>
      <c r="I46" s="2096"/>
      <c r="J46" s="2096"/>
      <c r="K46" s="226"/>
      <c r="L46" s="104"/>
      <c r="N46" s="1851" t="s">
        <v>1296</v>
      </c>
      <c r="O46" t="s">
        <v>1316</v>
      </c>
      <c r="P46" s="18" t="s">
        <v>1317</v>
      </c>
      <c r="Q46" t="s">
        <v>1318</v>
      </c>
      <c r="R46" s="436" t="s">
        <v>1319</v>
      </c>
      <c r="S46" s="436" t="s">
        <v>1320</v>
      </c>
      <c r="T46" s="436"/>
    </row>
    <row r="47" spans="1:21" s="105" customFormat="1">
      <c r="A47" s="103"/>
      <c r="B47" s="226"/>
      <c r="C47" s="241"/>
      <c r="D47" s="226"/>
      <c r="E47" s="987"/>
      <c r="F47" s="226"/>
      <c r="G47" s="2096"/>
      <c r="H47" s="2096"/>
      <c r="I47" s="2096"/>
      <c r="J47" s="2096"/>
      <c r="K47" s="226"/>
      <c r="L47" s="104"/>
      <c r="N47" s="1851" t="s">
        <v>1297</v>
      </c>
      <c r="O47" s="18" t="s">
        <v>1321</v>
      </c>
      <c r="P47" s="18" t="s">
        <v>1322</v>
      </c>
      <c r="Q47" t="s">
        <v>1323</v>
      </c>
      <c r="R47" s="436" t="s">
        <v>1324</v>
      </c>
      <c r="S47" s="436" t="s">
        <v>1325</v>
      </c>
      <c r="T47" s="436"/>
    </row>
    <row r="48" spans="1:21" s="105" customFormat="1">
      <c r="A48" s="103"/>
      <c r="B48" s="226"/>
      <c r="C48" s="241" t="s">
        <v>1293</v>
      </c>
      <c r="D48" s="226"/>
      <c r="E48" s="1818">
        <v>1</v>
      </c>
      <c r="F48" s="226"/>
      <c r="G48" s="2096"/>
      <c r="H48" s="2096"/>
      <c r="I48" s="2096"/>
      <c r="J48" s="2096"/>
      <c r="K48" s="226"/>
      <c r="L48" s="104"/>
      <c r="N48"/>
      <c r="O48" s="18"/>
      <c r="P48" s="18"/>
      <c r="Q48"/>
      <c r="R48" s="436"/>
      <c r="S48" s="436"/>
      <c r="T48" s="436"/>
    </row>
    <row r="49" spans="1:20" s="105" customFormat="1" ht="3.75" customHeight="1">
      <c r="A49" s="103"/>
      <c r="B49" s="226"/>
      <c r="C49" s="241"/>
      <c r="D49" s="226"/>
      <c r="E49" s="1824"/>
      <c r="F49" s="226"/>
      <c r="G49" s="2096"/>
      <c r="H49" s="2096"/>
      <c r="I49" s="2096"/>
      <c r="J49" s="2096"/>
      <c r="K49" s="226"/>
      <c r="L49" s="104"/>
      <c r="N49"/>
      <c r="O49" s="18"/>
      <c r="P49" s="18"/>
      <c r="Q49"/>
      <c r="R49" s="436"/>
      <c r="S49" s="436"/>
      <c r="T49" s="436"/>
    </row>
    <row r="50" spans="1:20" s="105" customFormat="1">
      <c r="A50" s="103"/>
      <c r="B50" s="1814"/>
      <c r="C50" s="1846"/>
      <c r="D50" s="1846"/>
      <c r="E50" s="1846"/>
      <c r="F50" s="1846"/>
      <c r="G50" s="1411"/>
      <c r="H50" s="226"/>
      <c r="I50" s="226"/>
      <c r="J50" s="226"/>
      <c r="K50" s="1814"/>
      <c r="L50" s="104"/>
      <c r="N50"/>
      <c r="O50" s="18"/>
      <c r="P50" s="18"/>
      <c r="Q50"/>
      <c r="R50" s="436"/>
      <c r="S50" s="436"/>
      <c r="T50" s="436"/>
    </row>
    <row r="51" spans="1:20" s="105" customFormat="1">
      <c r="A51" s="103"/>
      <c r="B51" s="1814"/>
      <c r="C51" s="1846"/>
      <c r="D51" s="1846"/>
      <c r="E51" s="1846"/>
      <c r="F51" s="1846"/>
      <c r="G51" s="1411"/>
      <c r="H51" s="226"/>
      <c r="I51" s="226"/>
      <c r="J51" s="226"/>
      <c r="K51" s="1814"/>
      <c r="L51" s="104"/>
      <c r="N51"/>
      <c r="O51" s="18"/>
      <c r="P51" s="18"/>
      <c r="Q51"/>
      <c r="R51" s="436"/>
      <c r="S51" s="436"/>
      <c r="T51" s="436"/>
    </row>
    <row r="52" spans="1:20" s="105" customFormat="1">
      <c r="A52" s="103"/>
      <c r="B52" s="1814"/>
      <c r="C52" s="1837" t="s">
        <v>1295</v>
      </c>
      <c r="D52" s="1832" t="s">
        <v>1306</v>
      </c>
      <c r="E52" s="1830" t="str">
        <f>IF(E48&gt;1,E48&amp;" pizze","Flere pizze?")</f>
        <v>Flere pizze?</v>
      </c>
      <c r="F52" s="1832" t="str">
        <f>IF(E48&gt;1,"cirka","")</f>
        <v/>
      </c>
      <c r="G52" s="1837" t="s">
        <v>1326</v>
      </c>
      <c r="H52" s="236"/>
      <c r="I52" s="236"/>
      <c r="J52" s="236"/>
      <c r="K52" s="1814"/>
      <c r="L52" s="104"/>
      <c r="N52"/>
      <c r="O52" s="18"/>
      <c r="P52" s="18"/>
      <c r="Q52"/>
      <c r="R52" s="436"/>
      <c r="S52" s="436"/>
      <c r="T52" s="436"/>
    </row>
    <row r="53" spans="1:20" s="105" customFormat="1" ht="6" customHeight="1">
      <c r="A53" s="103"/>
      <c r="B53" s="1814"/>
      <c r="C53" s="226"/>
      <c r="D53" s="226"/>
      <c r="E53" s="1831"/>
      <c r="F53" s="226"/>
      <c r="G53" s="1411"/>
      <c r="H53" s="226"/>
      <c r="I53" s="226"/>
      <c r="J53" s="226"/>
      <c r="K53" s="1814"/>
      <c r="L53" s="104"/>
      <c r="N53"/>
      <c r="O53" s="18"/>
      <c r="P53" s="18"/>
      <c r="Q53"/>
      <c r="R53" s="436"/>
      <c r="S53" s="436"/>
      <c r="T53" s="436"/>
    </row>
    <row r="54" spans="1:20" s="105" customFormat="1">
      <c r="A54" s="103"/>
      <c r="B54" s="1814"/>
      <c r="C54" s="1836" t="s">
        <v>953</v>
      </c>
      <c r="D54" s="1828">
        <f>VLOOKUP(D44,N42:P44,2,FALSE)*E46</f>
        <v>84.999999999999901</v>
      </c>
      <c r="E54" s="1834" t="s">
        <v>953</v>
      </c>
      <c r="F54" s="1826" t="str">
        <f>IF(E48&gt;1,D54*E48,"-")</f>
        <v>-</v>
      </c>
      <c r="G54" s="1852" t="str">
        <f>VLOOKUP($D$44,$N$45:$S$47,2,FALSE)</f>
        <v>Dækker godt uden at gøre bunden våd.</v>
      </c>
      <c r="H54" s="226"/>
      <c r="I54" s="226"/>
      <c r="J54" s="226"/>
      <c r="K54" s="1814"/>
      <c r="L54" s="104"/>
      <c r="N54"/>
      <c r="O54" s="18"/>
      <c r="P54" s="18"/>
      <c r="Q54"/>
      <c r="R54" s="436"/>
      <c r="S54" s="436"/>
      <c r="T54" s="436"/>
    </row>
    <row r="55" spans="1:20" s="105" customFormat="1" ht="6" customHeight="1">
      <c r="A55" s="103"/>
      <c r="B55" s="1814"/>
      <c r="C55" s="1836"/>
      <c r="D55" s="1829"/>
      <c r="E55" s="1834"/>
      <c r="F55" s="1827"/>
      <c r="G55" s="1852"/>
      <c r="H55" s="226"/>
      <c r="I55" s="226"/>
      <c r="J55" s="226"/>
      <c r="K55" s="1814"/>
      <c r="L55" s="104"/>
      <c r="N55"/>
      <c r="O55" s="18"/>
      <c r="P55" s="18"/>
      <c r="Q55"/>
      <c r="R55" s="436"/>
      <c r="S55" s="436"/>
      <c r="T55" s="436"/>
    </row>
    <row r="56" spans="1:20" s="105" customFormat="1">
      <c r="A56" s="103"/>
      <c r="B56" s="1814"/>
      <c r="C56" s="1836" t="s">
        <v>1294</v>
      </c>
      <c r="D56" s="1828">
        <f>VLOOKUP(D44,N42:P44,3,FALSE)*E46</f>
        <v>120</v>
      </c>
      <c r="E56" s="1834" t="s">
        <v>1294</v>
      </c>
      <c r="F56" s="1826" t="str">
        <f>IF(E48&gt;1,D56*E48,"-")</f>
        <v>-</v>
      </c>
      <c r="G56" s="1852" t="str">
        <f>VLOOKUP($D$44,$N$45:$S$47,3,FALSE)</f>
        <v>Cremet og fyldig uden at overdøve.</v>
      </c>
      <c r="H56" s="226"/>
      <c r="I56" s="226"/>
      <c r="J56" s="226"/>
      <c r="K56" s="1814"/>
      <c r="L56" s="104"/>
      <c r="N56"/>
      <c r="O56" s="18"/>
      <c r="P56" s="18"/>
      <c r="Q56"/>
      <c r="R56" s="436"/>
      <c r="S56" s="436"/>
      <c r="T56" s="436"/>
    </row>
    <row r="57" spans="1:20" s="105" customFormat="1" ht="6" customHeight="1">
      <c r="A57" s="103"/>
      <c r="B57" s="1814"/>
      <c r="C57" s="1836"/>
      <c r="D57" s="1828"/>
      <c r="E57" s="1835"/>
      <c r="F57" s="1826"/>
      <c r="G57" s="1852"/>
      <c r="H57" s="226"/>
      <c r="I57" s="226"/>
      <c r="J57" s="226"/>
      <c r="K57" s="1814"/>
      <c r="L57" s="104"/>
      <c r="N57"/>
      <c r="O57" s="18"/>
      <c r="P57" s="18"/>
      <c r="Q57"/>
      <c r="R57" s="436"/>
      <c r="S57" s="436"/>
      <c r="T57" s="436"/>
    </row>
    <row r="58" spans="1:20" s="105" customFormat="1">
      <c r="A58" s="103"/>
      <c r="B58" s="1814"/>
      <c r="C58" s="1836" t="s">
        <v>1301</v>
      </c>
      <c r="D58" s="1828">
        <f>VLOOKUP(D44,N42:S44,4,FALSE)*E46</f>
        <v>75</v>
      </c>
      <c r="E58" s="1834" t="s">
        <v>1301</v>
      </c>
      <c r="F58" s="1826" t="str">
        <f>IF(E48&gt;1,D58*E48,"-")</f>
        <v>-</v>
      </c>
      <c r="G58" s="1852" t="str">
        <f>VLOOKUP($D$44,$N$45:$S$47,4,FALSE)</f>
        <v>Giver smag og fylde uden at tynge.</v>
      </c>
      <c r="H58" s="226"/>
      <c r="I58" s="226"/>
      <c r="J58" s="226"/>
      <c r="K58" s="1814"/>
      <c r="L58" s="104"/>
      <c r="N58"/>
      <c r="O58" s="18"/>
      <c r="P58" s="18"/>
      <c r="Q58"/>
      <c r="R58" s="436"/>
      <c r="S58" s="436"/>
      <c r="T58" s="436"/>
    </row>
    <row r="59" spans="1:20" s="105" customFormat="1" ht="6" customHeight="1">
      <c r="A59" s="103"/>
      <c r="B59" s="1814"/>
      <c r="C59" s="1836"/>
      <c r="D59" s="1828"/>
      <c r="E59" s="1834"/>
      <c r="F59" s="1826"/>
      <c r="G59" s="1852"/>
      <c r="H59" s="226"/>
      <c r="I59" s="226"/>
      <c r="J59" s="226"/>
      <c r="K59" s="1814"/>
      <c r="L59" s="104"/>
      <c r="N59"/>
      <c r="O59" s="18"/>
      <c r="P59" s="18"/>
      <c r="Q59"/>
      <c r="R59" s="436"/>
      <c r="S59" s="436"/>
      <c r="T59" s="436"/>
    </row>
    <row r="60" spans="1:20" s="105" customFormat="1">
      <c r="A60" s="103"/>
      <c r="B60" s="1814"/>
      <c r="C60" s="1836" t="s">
        <v>1302</v>
      </c>
      <c r="D60" s="1828">
        <f>VLOOKUP(D44,N42:S44,5,FALSE)*E46</f>
        <v>69.999999999999901</v>
      </c>
      <c r="E60" s="1834" t="s">
        <v>1302</v>
      </c>
      <c r="F60" s="1826" t="str">
        <f>IF(E48&gt;1,D60*E48,"-")</f>
        <v>-</v>
      </c>
      <c r="G60" s="1852" t="str">
        <f>VLOOKUP($D$44,$N$45:$S$47,5,FALSE)</f>
        <v>Bidrager med friskhed og balance.</v>
      </c>
      <c r="H60" s="226"/>
      <c r="I60" s="226"/>
      <c r="J60" s="226"/>
      <c r="K60" s="1814"/>
      <c r="L60" s="104"/>
      <c r="N60"/>
      <c r="O60" s="18"/>
      <c r="P60" s="18"/>
      <c r="Q60"/>
      <c r="R60" s="436"/>
      <c r="S60" s="436"/>
      <c r="T60" s="436"/>
    </row>
    <row r="61" spans="1:20" s="105" customFormat="1" ht="6" customHeight="1">
      <c r="A61" s="103"/>
      <c r="B61" s="1814"/>
      <c r="C61" s="1836"/>
      <c r="D61" s="1828"/>
      <c r="E61" s="1834"/>
      <c r="F61" s="1826"/>
      <c r="G61" s="1852"/>
      <c r="H61" s="226"/>
      <c r="I61" s="226"/>
      <c r="J61" s="226"/>
      <c r="K61" s="1814"/>
      <c r="L61" s="104"/>
      <c r="N61"/>
      <c r="O61" s="18"/>
      <c r="P61" s="18"/>
      <c r="Q61"/>
      <c r="R61" s="436"/>
      <c r="S61" s="436"/>
      <c r="T61" s="436"/>
    </row>
    <row r="62" spans="1:20" s="105" customFormat="1">
      <c r="A62" s="103"/>
      <c r="B62" s="1814"/>
      <c r="C62" s="1836" t="s">
        <v>1307</v>
      </c>
      <c r="D62" s="1828">
        <f>VLOOKUP(D44,N42:S44,6,FALSE)*E46</f>
        <v>24.999999999999993</v>
      </c>
      <c r="E62" s="1834" t="s">
        <v>1307</v>
      </c>
      <c r="F62" s="1826" t="str">
        <f>IF(E48&gt;1,D62*E48,"-")</f>
        <v>-</v>
      </c>
      <c r="G62" s="1852" t="str">
        <f>VLOOKUP($D$44,$N$45:$S$47,6,FALSE)</f>
        <v>Smagsløft – fx oliven, pesto, chili.</v>
      </c>
      <c r="H62" s="226"/>
      <c r="I62" s="226"/>
      <c r="J62" s="226"/>
      <c r="K62" s="1814"/>
      <c r="L62" s="104"/>
      <c r="N62"/>
      <c r="O62" s="18"/>
      <c r="P62" s="18"/>
      <c r="Q62"/>
      <c r="R62" s="436"/>
      <c r="S62" s="436"/>
      <c r="T62" s="436"/>
    </row>
    <row r="63" spans="1:20" s="105" customFormat="1">
      <c r="A63" s="103"/>
      <c r="B63" s="1814"/>
      <c r="C63" s="1814"/>
      <c r="D63" s="1814"/>
      <c r="E63" s="1814"/>
      <c r="F63" s="1814"/>
      <c r="G63" s="1411"/>
      <c r="H63" s="226"/>
      <c r="I63" s="226"/>
      <c r="J63" s="226"/>
      <c r="K63" s="1814"/>
      <c r="L63" s="104"/>
      <c r="N63"/>
      <c r="O63" s="18"/>
      <c r="P63" s="18"/>
      <c r="Q63"/>
      <c r="R63" s="436"/>
      <c r="S63" s="436"/>
      <c r="T63" s="436"/>
    </row>
    <row r="64" spans="1:20" s="105" customFormat="1">
      <c r="A64" s="103"/>
      <c r="B64" s="1814"/>
      <c r="C64" s="1411" t="s">
        <v>1310</v>
      </c>
      <c r="D64" s="226"/>
      <c r="E64" s="226"/>
      <c r="F64" s="226"/>
      <c r="G64" s="1411"/>
      <c r="H64" s="226"/>
      <c r="I64" s="226"/>
      <c r="J64" s="226"/>
      <c r="K64" s="1814"/>
      <c r="L64" s="104"/>
      <c r="N64"/>
      <c r="O64" s="18"/>
      <c r="P64" s="18"/>
      <c r="Q64"/>
      <c r="R64" s="436"/>
      <c r="S64" s="436"/>
      <c r="T64" s="436"/>
    </row>
    <row r="65" spans="1:20" s="105" customFormat="1">
      <c r="A65" s="103"/>
      <c r="B65" s="1814"/>
      <c r="C65" s="1833"/>
      <c r="D65" s="1833"/>
      <c r="E65" s="1833"/>
      <c r="F65" s="1833"/>
      <c r="G65" s="226"/>
      <c r="H65" s="226"/>
      <c r="I65" s="226"/>
      <c r="J65" s="226"/>
      <c r="K65" s="1814"/>
      <c r="L65" s="104"/>
      <c r="N65"/>
      <c r="O65" s="18"/>
      <c r="P65" s="18"/>
      <c r="Q65"/>
      <c r="R65" s="436"/>
      <c r="S65" s="436"/>
      <c r="T65" s="436"/>
    </row>
    <row r="66" spans="1:20" s="105" customFormat="1">
      <c r="A66" s="103"/>
      <c r="B66" s="104"/>
      <c r="C66" s="1812"/>
      <c r="D66" s="1813"/>
      <c r="E66" s="1813"/>
      <c r="F66" s="1813"/>
      <c r="G66" s="1813"/>
      <c r="H66" s="1813"/>
      <c r="I66" s="1813"/>
      <c r="J66" s="1813"/>
      <c r="K66" s="1813"/>
      <c r="L66" s="1813"/>
      <c r="O66" s="436"/>
      <c r="P66" s="436"/>
      <c r="R66" s="436"/>
      <c r="S66" s="436"/>
      <c r="T66" s="436"/>
    </row>
  </sheetData>
  <sheetProtection algorithmName="SHA-512" hashValue="TaIa87or8sj9px997B/nqDh61NUoMu05VnsTCd64xqv3vNTXqDfHnBydS80p1l1Mggnjg70F+WAr25o1D8QlUg==" saltValue="D284nuwXnqm57Hj+WEpjeQ==" spinCount="100000" sheet="1" objects="1" scenarios="1" selectLockedCells="1"/>
  <mergeCells count="30">
    <mergeCell ref="C1:D3"/>
    <mergeCell ref="I3:J4"/>
    <mergeCell ref="I1:J2"/>
    <mergeCell ref="G3:H4"/>
    <mergeCell ref="G1:H2"/>
    <mergeCell ref="E3:F4"/>
    <mergeCell ref="E1:F2"/>
    <mergeCell ref="A6:A39"/>
    <mergeCell ref="C9:J12"/>
    <mergeCell ref="I23:I24"/>
    <mergeCell ref="I25:I26"/>
    <mergeCell ref="G25:G26"/>
    <mergeCell ref="G23:G24"/>
    <mergeCell ref="J34:K35"/>
    <mergeCell ref="C26:E26"/>
    <mergeCell ref="H19:J19"/>
    <mergeCell ref="H20:J20"/>
    <mergeCell ref="D44:E44"/>
    <mergeCell ref="G43:J49"/>
    <mergeCell ref="V23:V24"/>
    <mergeCell ref="T25:T26"/>
    <mergeCell ref="V25:V26"/>
    <mergeCell ref="C27:E27"/>
    <mergeCell ref="C33:E34"/>
    <mergeCell ref="J38:K38"/>
    <mergeCell ref="T23:T24"/>
    <mergeCell ref="O23:O24"/>
    <mergeCell ref="Q23:Q24"/>
    <mergeCell ref="O25:O26"/>
    <mergeCell ref="Q25:Q26"/>
  </mergeCells>
  <dataValidations count="2">
    <dataValidation type="whole" allowBlank="1" showErrorMessage="1" errorTitle="PizzaTool" error="Vælg et hel tal._x000a_Ingen fra og til." sqref="E23:E24" xr:uid="{6759E753-9A34-47EF-8603-D8E3EF74F46A}">
      <formula1>1</formula1>
      <formula2>10</formula2>
    </dataValidation>
    <dataValidation type="list" allowBlank="1" showInputMessage="1" showErrorMessage="1" sqref="D44:E44" xr:uid="{ADC28B3F-6879-4C9C-9CA0-702A49449F1F}">
      <formula1>$N$42:$N$43</formula1>
    </dataValidation>
  </dataValidations>
  <pageMargins left="0.19685039370078741" right="0.19685039370078741" top="0.19685039370078741" bottom="0.19685039370078741" header="3.937007874015748E-2" footer="3.937007874015748E-2"/>
  <pageSetup paperSize="9" scale="74"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D4653-9293-431E-9A2B-EB6F932B5A6B}">
  <sheetPr codeName="Ark5">
    <tabColor rgb="FFC00000"/>
    <pageSetUpPr fitToPage="1"/>
  </sheetPr>
  <dimension ref="A1:O100"/>
  <sheetViews>
    <sheetView showGridLines="0" showRowColHeaders="0" zoomScaleNormal="100" workbookViewId="0">
      <pane ySplit="4" topLeftCell="A5" activePane="bottomLeft" state="frozen"/>
      <selection pane="bottomLeft" activeCell="K17" sqref="K17"/>
    </sheetView>
  </sheetViews>
  <sheetFormatPr defaultColWidth="0" defaultRowHeight="15" zeroHeight="1"/>
  <cols>
    <col min="1" max="1" width="3.42578125" customWidth="1"/>
    <col min="2" max="2" width="5.28515625" customWidth="1"/>
    <col min="3" max="3" width="9.140625" customWidth="1"/>
    <col min="4" max="4" width="12.42578125" customWidth="1"/>
    <col min="5" max="5" width="2.42578125" customWidth="1"/>
    <col min="6" max="6" width="2" customWidth="1"/>
    <col min="7" max="10" width="9.140625" customWidth="1"/>
    <col min="11" max="11" width="12.140625" customWidth="1"/>
    <col min="12" max="12" width="3.7109375" customWidth="1"/>
    <col min="13" max="15" width="0" hidden="1" customWidth="1"/>
    <col min="16" max="16384" width="9.140625" hidden="1"/>
  </cols>
  <sheetData>
    <row r="1" spans="1:12" ht="15" customHeight="1">
      <c r="A1" s="269"/>
      <c r="B1" s="269"/>
      <c r="C1" s="2114" t="s">
        <v>113</v>
      </c>
      <c r="D1" s="2114"/>
      <c r="E1" s="2114"/>
      <c r="F1" s="2114"/>
      <c r="G1" s="2114"/>
      <c r="H1" s="2114"/>
      <c r="I1" s="2114"/>
      <c r="J1" s="2114"/>
      <c r="K1" s="269"/>
      <c r="L1" s="269"/>
    </row>
    <row r="2" spans="1:12" ht="15" customHeight="1">
      <c r="A2" s="269"/>
      <c r="B2" s="269"/>
      <c r="C2" s="2114"/>
      <c r="D2" s="2114"/>
      <c r="E2" s="2114"/>
      <c r="F2" s="2114"/>
      <c r="G2" s="2114"/>
      <c r="H2" s="2114"/>
      <c r="I2" s="2114"/>
      <c r="J2" s="2114"/>
      <c r="K2" s="269"/>
      <c r="L2" s="269"/>
    </row>
    <row r="3" spans="1:12" ht="15" customHeight="1">
      <c r="A3" s="269"/>
      <c r="B3" s="269"/>
      <c r="C3" s="2114"/>
      <c r="D3" s="2114"/>
      <c r="E3" s="2114"/>
      <c r="F3" s="2114"/>
      <c r="G3" s="2114"/>
      <c r="H3" s="2114"/>
      <c r="I3" s="2114"/>
      <c r="J3" s="2114"/>
      <c r="K3" s="269"/>
      <c r="L3" s="269"/>
    </row>
    <row r="4" spans="1:12" ht="15" customHeight="1" thickBot="1">
      <c r="A4" s="270"/>
      <c r="B4" s="270"/>
      <c r="C4" s="2115"/>
      <c r="D4" s="2115"/>
      <c r="E4" s="2115"/>
      <c r="F4" s="2115"/>
      <c r="G4" s="2115"/>
      <c r="H4" s="2115"/>
      <c r="I4" s="2115"/>
      <c r="J4" s="2115"/>
      <c r="K4" s="270"/>
      <c r="L4" s="270"/>
    </row>
    <row r="5" spans="1:12" ht="15" customHeight="1" thickTop="1">
      <c r="A5" s="98"/>
      <c r="B5" s="2117" t="s">
        <v>316</v>
      </c>
      <c r="C5" s="2117"/>
      <c r="D5" s="2117"/>
      <c r="E5" s="2117"/>
      <c r="F5" s="2117"/>
      <c r="G5" s="2117"/>
      <c r="H5" s="2117"/>
      <c r="I5" s="2117"/>
      <c r="J5" s="2117"/>
      <c r="K5" s="2117"/>
      <c r="L5" s="98"/>
    </row>
    <row r="6" spans="1:12" ht="15" customHeight="1">
      <c r="A6" s="98"/>
      <c r="B6" s="2117"/>
      <c r="C6" s="2117"/>
      <c r="D6" s="2117"/>
      <c r="E6" s="2117"/>
      <c r="F6" s="2117"/>
      <c r="G6" s="2117"/>
      <c r="H6" s="2117"/>
      <c r="I6" s="2117"/>
      <c r="J6" s="2117"/>
      <c r="K6" s="2117"/>
      <c r="L6" s="98"/>
    </row>
    <row r="7" spans="1:12">
      <c r="A7" s="98"/>
      <c r="B7" s="2118" t="s">
        <v>38</v>
      </c>
      <c r="C7" s="2118"/>
      <c r="D7" s="2118"/>
      <c r="E7" s="2118"/>
      <c r="F7" s="2118"/>
      <c r="G7" s="2118"/>
      <c r="H7" s="2118"/>
      <c r="I7" s="2118"/>
      <c r="J7" s="2118"/>
      <c r="K7" s="2118"/>
      <c r="L7" s="98"/>
    </row>
    <row r="8" spans="1:12" ht="8.25" customHeight="1">
      <c r="A8" s="98"/>
      <c r="B8" s="98"/>
      <c r="C8" s="98"/>
      <c r="D8" s="98"/>
      <c r="E8" s="98"/>
      <c r="F8" s="98"/>
      <c r="G8" s="98"/>
      <c r="H8" s="98"/>
      <c r="I8" s="98"/>
      <c r="J8" s="98"/>
      <c r="K8" s="98"/>
      <c r="L8" s="98"/>
    </row>
    <row r="9" spans="1:12" ht="16.5" thickBot="1">
      <c r="A9" s="98"/>
      <c r="B9" s="106" t="s">
        <v>318</v>
      </c>
      <c r="C9" s="106"/>
      <c r="D9" s="106"/>
      <c r="E9" s="106"/>
      <c r="F9" s="106" t="s">
        <v>319</v>
      </c>
      <c r="G9" s="106"/>
      <c r="H9" s="106"/>
      <c r="I9" s="106"/>
      <c r="J9" s="106" t="s">
        <v>320</v>
      </c>
      <c r="K9" s="106"/>
      <c r="L9" s="98"/>
    </row>
    <row r="10" spans="1:12">
      <c r="A10" s="98"/>
      <c r="B10" s="98"/>
      <c r="C10" s="98"/>
      <c r="D10" s="98"/>
      <c r="E10" s="98"/>
      <c r="F10" s="98"/>
      <c r="G10" s="98"/>
      <c r="H10" s="98"/>
      <c r="I10" s="98"/>
      <c r="J10" s="98"/>
      <c r="K10" s="98"/>
      <c r="L10" s="98"/>
    </row>
    <row r="11" spans="1:12" ht="15.75">
      <c r="A11" s="98"/>
      <c r="B11" s="118" t="s">
        <v>28</v>
      </c>
      <c r="C11" s="104"/>
      <c r="D11" s="104"/>
      <c r="E11" s="98"/>
      <c r="F11" s="98"/>
      <c r="G11" s="98"/>
      <c r="H11" s="98"/>
      <c r="I11" s="98"/>
      <c r="J11" s="98"/>
      <c r="K11" s="98"/>
      <c r="L11" s="98"/>
    </row>
    <row r="12" spans="1:12" ht="15.75">
      <c r="A12" s="98"/>
      <c r="B12" s="119" t="s">
        <v>3</v>
      </c>
      <c r="C12" s="120" t="s">
        <v>52</v>
      </c>
      <c r="D12" s="104"/>
      <c r="E12" s="98"/>
      <c r="F12" s="98"/>
      <c r="G12" s="98"/>
      <c r="H12" s="98"/>
      <c r="I12" s="98"/>
      <c r="J12" s="98"/>
      <c r="K12" s="98"/>
      <c r="L12" s="98"/>
    </row>
    <row r="13" spans="1:12" ht="15.75">
      <c r="A13" s="98"/>
      <c r="B13" s="119" t="s">
        <v>3</v>
      </c>
      <c r="C13" s="120" t="s">
        <v>39</v>
      </c>
      <c r="D13" s="104"/>
      <c r="E13" s="98"/>
      <c r="F13" s="98"/>
      <c r="G13" s="98"/>
      <c r="H13" s="98"/>
      <c r="I13" s="98"/>
      <c r="J13" s="98"/>
      <c r="K13" s="98"/>
      <c r="L13" s="98"/>
    </row>
    <row r="14" spans="1:12" ht="15.75">
      <c r="A14" s="98"/>
      <c r="B14" s="119" t="s">
        <v>3</v>
      </c>
      <c r="C14" s="120" t="s">
        <v>879</v>
      </c>
      <c r="D14" s="104"/>
      <c r="E14" s="98"/>
      <c r="F14" s="98"/>
      <c r="G14" s="98"/>
      <c r="H14" s="98"/>
      <c r="I14" s="98"/>
      <c r="J14" s="98"/>
      <c r="K14" s="98"/>
      <c r="L14" s="98"/>
    </row>
    <row r="15" spans="1:12" ht="15.75">
      <c r="A15" s="98"/>
      <c r="B15" s="119" t="s">
        <v>3</v>
      </c>
      <c r="C15" s="120" t="s">
        <v>40</v>
      </c>
      <c r="D15" s="104"/>
      <c r="E15" s="98"/>
      <c r="F15" s="98"/>
      <c r="G15" s="116"/>
      <c r="H15" s="116"/>
      <c r="I15" s="116"/>
      <c r="J15" s="116"/>
      <c r="K15" s="116"/>
      <c r="L15" s="98"/>
    </row>
    <row r="16" spans="1:12" ht="15.75">
      <c r="A16" s="98"/>
      <c r="B16" s="119" t="s">
        <v>3</v>
      </c>
      <c r="C16" s="120" t="s">
        <v>41</v>
      </c>
      <c r="D16" s="104"/>
      <c r="E16" s="98"/>
      <c r="F16" s="98"/>
      <c r="G16" s="116"/>
      <c r="H16" s="116"/>
      <c r="I16" s="116"/>
      <c r="J16" s="116"/>
      <c r="K16" s="116"/>
      <c r="L16" s="98"/>
    </row>
    <row r="17" spans="1:12" ht="15.75">
      <c r="A17" s="98"/>
      <c r="B17" s="119" t="s">
        <v>3</v>
      </c>
      <c r="C17" s="120" t="s">
        <v>42</v>
      </c>
      <c r="D17" s="104"/>
      <c r="E17" s="98"/>
      <c r="F17" s="98"/>
      <c r="G17" s="98"/>
      <c r="H17" s="98"/>
      <c r="I17" s="98"/>
      <c r="J17" s="98"/>
      <c r="K17" s="98"/>
      <c r="L17" s="98"/>
    </row>
    <row r="18" spans="1:12" ht="15.75">
      <c r="A18" s="98"/>
      <c r="B18" s="119"/>
      <c r="C18" s="120"/>
      <c r="D18" s="104"/>
      <c r="E18" s="98"/>
      <c r="F18" s="98"/>
      <c r="G18" s="98"/>
      <c r="H18" s="98"/>
      <c r="I18" s="98"/>
      <c r="J18" s="98"/>
      <c r="K18" s="98"/>
      <c r="L18" s="98"/>
    </row>
    <row r="19" spans="1:12" ht="15.75">
      <c r="A19" s="98"/>
      <c r="B19" s="121" t="s">
        <v>43</v>
      </c>
      <c r="C19" s="120"/>
      <c r="D19" s="104"/>
      <c r="E19" s="98"/>
      <c r="F19" s="98"/>
      <c r="G19" s="98"/>
      <c r="H19" s="98"/>
      <c r="I19" s="98"/>
      <c r="J19" s="98"/>
      <c r="K19" s="98"/>
      <c r="L19" s="98"/>
    </row>
    <row r="20" spans="1:12" ht="15.75">
      <c r="A20" s="98"/>
      <c r="B20" s="122" t="s">
        <v>60</v>
      </c>
      <c r="C20" s="120" t="s">
        <v>44</v>
      </c>
      <c r="D20" s="104"/>
      <c r="E20" s="98"/>
      <c r="F20" s="98"/>
      <c r="G20" s="98"/>
      <c r="H20" s="98"/>
      <c r="I20" s="98"/>
      <c r="J20" s="98"/>
      <c r="K20" s="98"/>
      <c r="L20" s="98"/>
    </row>
    <row r="21" spans="1:12" ht="15.75">
      <c r="A21" s="98"/>
      <c r="B21" s="122" t="s">
        <v>61</v>
      </c>
      <c r="C21" s="120" t="s">
        <v>49</v>
      </c>
      <c r="D21" s="104"/>
      <c r="E21" s="98"/>
      <c r="F21" s="98"/>
      <c r="G21" s="98"/>
      <c r="H21" s="98"/>
      <c r="I21" s="98"/>
      <c r="J21" s="98"/>
      <c r="K21" s="98"/>
      <c r="L21" s="98"/>
    </row>
    <row r="22" spans="1:12" ht="15.75">
      <c r="A22" s="98"/>
      <c r="B22" s="123"/>
      <c r="C22" s="120"/>
      <c r="D22" s="104"/>
      <c r="E22" s="98"/>
      <c r="F22" s="98"/>
      <c r="G22" s="98"/>
      <c r="H22" s="98"/>
      <c r="I22" s="98"/>
      <c r="J22" s="98"/>
      <c r="K22" s="98"/>
      <c r="L22" s="98"/>
    </row>
    <row r="23" spans="1:12" ht="15.75">
      <c r="A23" s="98"/>
      <c r="B23" s="118" t="s">
        <v>48</v>
      </c>
      <c r="C23" s="124"/>
      <c r="D23" s="104"/>
      <c r="E23" s="98"/>
      <c r="F23" s="98"/>
      <c r="G23" s="98"/>
      <c r="H23" s="98"/>
      <c r="I23" s="98"/>
      <c r="J23" s="98"/>
      <c r="K23" s="98"/>
      <c r="L23" s="98"/>
    </row>
    <row r="24" spans="1:12" ht="15.75">
      <c r="A24" s="98"/>
      <c r="B24" s="119" t="s">
        <v>3</v>
      </c>
      <c r="C24" s="104" t="s">
        <v>45</v>
      </c>
      <c r="D24" s="104"/>
      <c r="E24" s="98"/>
      <c r="F24" s="98"/>
      <c r="G24" s="98"/>
      <c r="H24" s="98"/>
      <c r="I24" s="98"/>
      <c r="J24" s="98"/>
      <c r="K24" s="98"/>
      <c r="L24" s="98"/>
    </row>
    <row r="25" spans="1:12" ht="15.75">
      <c r="A25" s="98"/>
      <c r="B25" s="119"/>
      <c r="C25" s="104" t="s">
        <v>47</v>
      </c>
      <c r="D25" s="104"/>
      <c r="E25" s="98"/>
      <c r="F25" s="98"/>
      <c r="G25" s="98"/>
      <c r="H25" s="98"/>
      <c r="I25" s="98"/>
      <c r="J25" s="98"/>
      <c r="K25" s="98"/>
      <c r="L25" s="98"/>
    </row>
    <row r="26" spans="1:12" ht="15.75">
      <c r="A26" s="98"/>
      <c r="B26" s="119" t="s">
        <v>3</v>
      </c>
      <c r="C26" s="104" t="s">
        <v>50</v>
      </c>
      <c r="D26" s="104"/>
      <c r="E26" s="98"/>
      <c r="F26" s="98"/>
      <c r="G26" s="98"/>
      <c r="H26" s="98"/>
      <c r="I26" s="98"/>
      <c r="J26" s="98"/>
      <c r="K26" s="98"/>
      <c r="L26" s="98"/>
    </row>
    <row r="27" spans="1:12" ht="15.75">
      <c r="A27" s="98"/>
      <c r="B27" s="119" t="s">
        <v>3</v>
      </c>
      <c r="C27" s="104" t="s">
        <v>46</v>
      </c>
      <c r="D27" s="104"/>
      <c r="E27" s="98"/>
      <c r="F27" s="98"/>
      <c r="G27" s="98"/>
      <c r="H27" s="98"/>
      <c r="I27" s="98"/>
      <c r="J27" s="98"/>
      <c r="K27" s="98"/>
      <c r="L27" s="98"/>
    </row>
    <row r="28" spans="1:12" ht="15.75">
      <c r="A28" s="98"/>
      <c r="B28" s="119" t="s">
        <v>3</v>
      </c>
      <c r="C28" s="104" t="s">
        <v>51</v>
      </c>
      <c r="D28" s="104"/>
      <c r="E28" s="98"/>
      <c r="F28" s="98"/>
      <c r="G28" s="98"/>
      <c r="H28" s="98"/>
      <c r="I28" s="98"/>
      <c r="J28" s="98"/>
      <c r="K28" s="98"/>
      <c r="L28" s="98"/>
    </row>
    <row r="29" spans="1:12">
      <c r="A29" s="98"/>
      <c r="B29" s="98"/>
      <c r="C29" s="98"/>
      <c r="D29" s="98"/>
      <c r="E29" s="98"/>
      <c r="F29" s="98"/>
      <c r="G29" s="98"/>
      <c r="H29" s="98"/>
      <c r="I29" s="98"/>
      <c r="J29" s="98"/>
      <c r="K29" s="98"/>
      <c r="L29" s="98"/>
    </row>
    <row r="30" spans="1:12">
      <c r="A30" s="98"/>
      <c r="B30" s="98"/>
      <c r="C30" s="98"/>
      <c r="D30" s="98"/>
      <c r="E30" s="98"/>
      <c r="F30" s="98"/>
      <c r="G30" s="98"/>
      <c r="H30" s="98"/>
      <c r="I30" s="98"/>
      <c r="J30" s="98"/>
      <c r="K30" s="98"/>
      <c r="L30" s="98"/>
    </row>
    <row r="31" spans="1:12">
      <c r="A31" s="98"/>
      <c r="B31" s="98"/>
      <c r="C31" s="98"/>
      <c r="D31" s="98"/>
      <c r="E31" s="98"/>
      <c r="F31" s="98"/>
      <c r="G31" s="98"/>
      <c r="H31" s="98"/>
      <c r="I31" s="98"/>
      <c r="J31" s="98"/>
      <c r="K31" s="98"/>
      <c r="L31" s="98"/>
    </row>
    <row r="32" spans="1:12">
      <c r="A32" s="98"/>
      <c r="B32" s="98"/>
      <c r="C32" s="98"/>
      <c r="D32" s="98"/>
      <c r="E32" s="98"/>
      <c r="F32" s="98"/>
      <c r="G32" s="98"/>
      <c r="H32" s="98"/>
      <c r="I32" s="98"/>
      <c r="J32" s="98"/>
      <c r="K32" s="98"/>
      <c r="L32" s="98"/>
    </row>
    <row r="33" spans="1:12">
      <c r="A33" s="98"/>
      <c r="B33" s="98"/>
      <c r="C33" s="98"/>
      <c r="D33" s="98"/>
      <c r="E33" s="98"/>
      <c r="F33" s="98"/>
      <c r="G33" s="98"/>
      <c r="H33" s="98"/>
      <c r="I33" s="98"/>
      <c r="J33" s="98"/>
      <c r="K33" s="98"/>
      <c r="L33" s="98"/>
    </row>
    <row r="34" spans="1:12">
      <c r="A34" s="98"/>
      <c r="B34" s="98"/>
      <c r="C34" s="98"/>
      <c r="D34" s="98"/>
      <c r="E34" s="98"/>
      <c r="F34" s="98"/>
      <c r="G34" s="98"/>
      <c r="H34" s="98"/>
      <c r="I34" s="98"/>
      <c r="J34" s="98"/>
      <c r="K34" s="98"/>
      <c r="L34" s="98"/>
    </row>
    <row r="35" spans="1:12">
      <c r="A35" s="98"/>
      <c r="B35" s="98"/>
      <c r="C35" s="98"/>
      <c r="D35" s="98"/>
      <c r="E35" s="98"/>
      <c r="F35" s="98"/>
      <c r="G35" s="98"/>
      <c r="H35" s="98"/>
      <c r="I35" s="98"/>
      <c r="J35" s="98"/>
      <c r="K35" s="98"/>
      <c r="L35" s="98"/>
    </row>
    <row r="36" spans="1:12">
      <c r="A36" s="98"/>
      <c r="B36" s="98"/>
      <c r="C36" s="98"/>
      <c r="D36" s="98"/>
      <c r="E36" s="98"/>
      <c r="F36" s="98"/>
      <c r="G36" s="98"/>
      <c r="H36" s="98"/>
      <c r="I36" s="98"/>
      <c r="J36" s="98"/>
      <c r="K36" s="98"/>
      <c r="L36" s="98"/>
    </row>
    <row r="37" spans="1:12">
      <c r="A37" s="98"/>
      <c r="B37" s="98"/>
      <c r="C37" s="98"/>
      <c r="D37" s="98"/>
      <c r="E37" s="98"/>
      <c r="F37" s="98"/>
      <c r="G37" s="98"/>
      <c r="H37" s="98"/>
      <c r="I37" s="98"/>
      <c r="J37" s="98"/>
      <c r="K37" s="98"/>
      <c r="L37" s="98"/>
    </row>
    <row r="38" spans="1:12">
      <c r="A38" s="98"/>
      <c r="B38" s="98"/>
      <c r="C38" s="98"/>
      <c r="D38" s="98"/>
      <c r="E38" s="98"/>
      <c r="F38" s="98"/>
      <c r="G38" s="98"/>
      <c r="H38" s="98"/>
      <c r="I38" s="98"/>
      <c r="J38" s="98"/>
      <c r="K38" s="98"/>
      <c r="L38" s="98"/>
    </row>
    <row r="39" spans="1:12">
      <c r="A39" s="98"/>
      <c r="B39" s="98"/>
      <c r="C39" s="98"/>
      <c r="D39" s="98"/>
      <c r="E39" s="98"/>
      <c r="F39" s="98"/>
      <c r="G39" s="98"/>
      <c r="H39" s="98"/>
      <c r="I39" s="98"/>
      <c r="J39" s="98"/>
      <c r="K39" s="98"/>
      <c r="L39" s="98"/>
    </row>
    <row r="40" spans="1:12">
      <c r="A40" s="98"/>
      <c r="B40" s="98"/>
      <c r="C40" s="98"/>
      <c r="D40" s="98"/>
      <c r="E40" s="98"/>
      <c r="F40" s="98"/>
      <c r="G40" s="98"/>
      <c r="H40" s="98"/>
      <c r="I40" s="98"/>
      <c r="J40" s="98"/>
      <c r="K40" s="98"/>
      <c r="L40" s="98"/>
    </row>
    <row r="41" spans="1:12">
      <c r="A41" s="22"/>
      <c r="B41" s="22"/>
      <c r="C41" s="22"/>
      <c r="D41" s="22"/>
      <c r="E41" s="22"/>
      <c r="F41" s="22"/>
      <c r="G41" s="22"/>
      <c r="H41" s="22"/>
      <c r="I41" s="22"/>
      <c r="J41" s="22"/>
      <c r="K41" s="22"/>
      <c r="L41" s="22"/>
    </row>
    <row r="42" spans="1:12">
      <c r="A42" s="98"/>
      <c r="B42" s="98"/>
      <c r="C42" s="98"/>
      <c r="D42" s="98"/>
      <c r="E42" s="98"/>
      <c r="F42" s="98"/>
      <c r="G42" s="98"/>
      <c r="H42" s="98"/>
      <c r="I42" s="98"/>
      <c r="J42" s="98"/>
      <c r="K42" s="98"/>
      <c r="L42" s="98"/>
    </row>
    <row r="43" spans="1:12">
      <c r="A43" s="98"/>
      <c r="B43" s="2117" t="s">
        <v>317</v>
      </c>
      <c r="C43" s="2117"/>
      <c r="D43" s="2117"/>
      <c r="E43" s="2117"/>
      <c r="F43" s="2117"/>
      <c r="G43" s="2117"/>
      <c r="H43" s="2117"/>
      <c r="I43" s="2117"/>
      <c r="J43" s="2117"/>
      <c r="K43" s="2117"/>
      <c r="L43" s="98"/>
    </row>
    <row r="44" spans="1:12">
      <c r="A44" s="98"/>
      <c r="B44" s="2117"/>
      <c r="C44" s="2117"/>
      <c r="D44" s="2117"/>
      <c r="E44" s="2117"/>
      <c r="F44" s="2117"/>
      <c r="G44" s="2117"/>
      <c r="H44" s="2117"/>
      <c r="I44" s="2117"/>
      <c r="J44" s="2117"/>
      <c r="K44" s="2117"/>
      <c r="L44" s="98"/>
    </row>
    <row r="45" spans="1:12" s="38" customFormat="1" ht="15.75">
      <c r="A45" s="100"/>
      <c r="B45" s="135" t="s">
        <v>324</v>
      </c>
      <c r="C45" s="117"/>
      <c r="D45" s="117"/>
      <c r="E45" s="117"/>
      <c r="F45" s="117"/>
      <c r="G45" s="117"/>
      <c r="H45" s="117"/>
      <c r="I45" s="117"/>
      <c r="J45" s="117"/>
      <c r="K45" s="117"/>
      <c r="L45" s="100"/>
    </row>
    <row r="46" spans="1:12" s="38" customFormat="1">
      <c r="A46" s="100"/>
      <c r="B46" s="134" t="s">
        <v>325</v>
      </c>
      <c r="C46" s="117"/>
      <c r="D46" s="117"/>
      <c r="E46" s="117"/>
      <c r="F46" s="117"/>
      <c r="G46" s="117"/>
      <c r="H46" s="117"/>
      <c r="I46" s="117"/>
      <c r="J46" s="117"/>
      <c r="K46" s="117"/>
      <c r="L46" s="100"/>
    </row>
    <row r="47" spans="1:12" ht="17.25" customHeight="1">
      <c r="A47" s="98"/>
      <c r="B47" s="2116" t="s">
        <v>55</v>
      </c>
      <c r="C47" s="2116"/>
      <c r="D47" s="2116"/>
      <c r="E47" s="2116"/>
      <c r="F47" s="2116"/>
      <c r="G47" s="2116"/>
      <c r="H47" s="2116"/>
      <c r="I47" s="2116"/>
      <c r="J47" s="2116"/>
      <c r="K47" s="2116"/>
      <c r="L47" s="98"/>
    </row>
    <row r="48" spans="1:12">
      <c r="A48" s="98"/>
      <c r="B48" s="98"/>
      <c r="C48" s="98"/>
      <c r="D48" s="98"/>
      <c r="E48" s="98"/>
      <c r="F48" s="98"/>
      <c r="G48" s="98"/>
      <c r="H48" s="98"/>
      <c r="I48" s="98"/>
      <c r="J48" s="98"/>
      <c r="K48" s="98"/>
      <c r="L48" s="98"/>
    </row>
    <row r="49" spans="1:12" ht="16.5" thickBot="1">
      <c r="A49" s="98"/>
      <c r="B49" s="106" t="s">
        <v>318</v>
      </c>
      <c r="C49" s="106"/>
      <c r="D49" s="106"/>
      <c r="E49" s="106"/>
      <c r="F49" s="106" t="s">
        <v>321</v>
      </c>
      <c r="G49" s="106"/>
      <c r="H49" s="106"/>
      <c r="I49" s="106"/>
      <c r="J49" s="106" t="s">
        <v>322</v>
      </c>
      <c r="K49" s="106"/>
      <c r="L49" s="98"/>
    </row>
    <row r="50" spans="1:12" ht="15.75">
      <c r="A50" s="98"/>
      <c r="B50" s="104"/>
      <c r="C50" s="104"/>
      <c r="D50" s="104"/>
      <c r="E50" s="104"/>
      <c r="F50" s="104"/>
      <c r="G50" s="104"/>
      <c r="H50" s="104"/>
      <c r="I50" s="104"/>
      <c r="J50" s="104"/>
      <c r="K50" s="104"/>
      <c r="L50" s="98"/>
    </row>
    <row r="51" spans="1:12" ht="15.75">
      <c r="A51" s="98"/>
      <c r="B51" s="118" t="s">
        <v>28</v>
      </c>
      <c r="C51" s="104"/>
      <c r="D51" s="104"/>
      <c r="E51" s="104"/>
      <c r="F51" s="104"/>
      <c r="G51" s="104"/>
      <c r="H51" s="104"/>
      <c r="I51" s="104"/>
      <c r="J51" s="104"/>
      <c r="K51" s="104"/>
      <c r="L51" s="98"/>
    </row>
    <row r="52" spans="1:12" ht="15.75">
      <c r="A52" s="98"/>
      <c r="B52" s="119" t="s">
        <v>3</v>
      </c>
      <c r="C52" s="120" t="s">
        <v>52</v>
      </c>
      <c r="D52" s="104"/>
      <c r="E52" s="104"/>
      <c r="F52" s="104"/>
      <c r="G52" s="104"/>
      <c r="H52" s="104"/>
      <c r="I52" s="104"/>
      <c r="J52" s="104"/>
      <c r="K52" s="104"/>
      <c r="L52" s="98"/>
    </row>
    <row r="53" spans="1:12" ht="15.75">
      <c r="A53" s="98"/>
      <c r="B53" s="119" t="s">
        <v>3</v>
      </c>
      <c r="C53" s="104" t="s">
        <v>53</v>
      </c>
      <c r="D53" s="104"/>
      <c r="E53" s="104"/>
      <c r="F53" s="104"/>
      <c r="G53" s="104"/>
      <c r="H53" s="104"/>
      <c r="I53" s="104"/>
      <c r="J53" s="104"/>
      <c r="K53" s="104"/>
      <c r="L53" s="98"/>
    </row>
    <row r="54" spans="1:12" ht="15.75">
      <c r="A54" s="98"/>
      <c r="B54" s="119" t="s">
        <v>3</v>
      </c>
      <c r="C54" s="104" t="s">
        <v>54</v>
      </c>
      <c r="D54" s="104"/>
      <c r="E54" s="104"/>
      <c r="F54" s="104"/>
      <c r="G54" s="104"/>
      <c r="H54" s="104"/>
      <c r="I54" s="104"/>
      <c r="J54" s="104"/>
      <c r="K54" s="104"/>
      <c r="L54" s="98"/>
    </row>
    <row r="55" spans="1:12" ht="15.75">
      <c r="A55" s="98"/>
      <c r="B55" s="119" t="s">
        <v>3</v>
      </c>
      <c r="C55" s="104" t="s">
        <v>56</v>
      </c>
      <c r="D55" s="104"/>
      <c r="E55" s="104"/>
      <c r="F55" s="104"/>
      <c r="G55" s="104"/>
      <c r="H55" s="104"/>
      <c r="I55" s="104"/>
      <c r="J55" s="104"/>
      <c r="K55" s="104"/>
      <c r="L55" s="98"/>
    </row>
    <row r="56" spans="1:12" ht="15.75">
      <c r="A56" s="98"/>
      <c r="B56" s="119" t="s">
        <v>3</v>
      </c>
      <c r="C56" s="104" t="s">
        <v>57</v>
      </c>
      <c r="D56" s="104"/>
      <c r="E56" s="104"/>
      <c r="F56" s="104"/>
      <c r="G56" s="104"/>
      <c r="H56" s="104"/>
      <c r="I56" s="104"/>
      <c r="J56" s="104"/>
      <c r="K56" s="104"/>
      <c r="L56" s="98"/>
    </row>
    <row r="57" spans="1:12" ht="15.75">
      <c r="A57" s="98"/>
      <c r="B57" s="119" t="s">
        <v>3</v>
      </c>
      <c r="C57" s="104" t="s">
        <v>58</v>
      </c>
      <c r="D57" s="104"/>
      <c r="E57" s="104"/>
      <c r="F57" s="104"/>
      <c r="G57" s="104"/>
      <c r="H57" s="104"/>
      <c r="I57" s="104"/>
      <c r="J57" s="104"/>
      <c r="K57" s="104"/>
      <c r="L57" s="98"/>
    </row>
    <row r="58" spans="1:12" ht="15.75">
      <c r="A58" s="98"/>
      <c r="B58" s="119" t="s">
        <v>3</v>
      </c>
      <c r="C58" s="104" t="s">
        <v>59</v>
      </c>
      <c r="D58" s="104"/>
      <c r="E58" s="104"/>
      <c r="F58" s="104"/>
      <c r="G58" s="104"/>
      <c r="H58" s="104"/>
      <c r="I58" s="104"/>
      <c r="J58" s="104"/>
      <c r="K58" s="104"/>
      <c r="L58" s="98"/>
    </row>
    <row r="59" spans="1:12" ht="15.75">
      <c r="A59" s="98"/>
      <c r="B59" s="119" t="s">
        <v>3</v>
      </c>
      <c r="C59" s="104" t="s">
        <v>65</v>
      </c>
      <c r="D59" s="104"/>
      <c r="E59" s="104"/>
      <c r="F59" s="104"/>
      <c r="G59" s="104"/>
      <c r="H59" s="104"/>
      <c r="I59" s="104"/>
      <c r="J59" s="104"/>
      <c r="K59" s="104"/>
      <c r="L59" s="98"/>
    </row>
    <row r="60" spans="1:12" ht="15.75">
      <c r="A60" s="98"/>
      <c r="B60" s="119" t="s">
        <v>3</v>
      </c>
      <c r="C60" s="104" t="s">
        <v>75</v>
      </c>
      <c r="D60" s="104"/>
      <c r="E60" s="104"/>
      <c r="F60" s="104"/>
      <c r="G60" s="104"/>
      <c r="H60" s="104"/>
      <c r="I60" s="104"/>
      <c r="J60" s="104"/>
      <c r="K60" s="104"/>
      <c r="L60" s="98"/>
    </row>
    <row r="61" spans="1:12" ht="15.75">
      <c r="A61" s="98"/>
      <c r="B61" s="104"/>
      <c r="C61" s="104"/>
      <c r="D61" s="104"/>
      <c r="E61" s="104"/>
      <c r="F61" s="104"/>
      <c r="G61" s="104"/>
      <c r="H61" s="104"/>
      <c r="I61" s="104"/>
      <c r="J61" s="104"/>
      <c r="K61" s="104"/>
      <c r="L61" s="98"/>
    </row>
    <row r="62" spans="1:12" ht="15.75">
      <c r="A62" s="98"/>
      <c r="B62" s="121" t="s">
        <v>43</v>
      </c>
      <c r="C62" s="104"/>
      <c r="D62" s="104"/>
      <c r="E62" s="104"/>
      <c r="F62" s="104"/>
      <c r="G62" s="104"/>
      <c r="H62" s="104"/>
      <c r="I62" s="104"/>
      <c r="J62" s="104"/>
      <c r="K62" s="104"/>
      <c r="L62" s="98"/>
    </row>
    <row r="63" spans="1:12" ht="15.75">
      <c r="A63" s="98"/>
      <c r="B63" s="115" t="s">
        <v>60</v>
      </c>
      <c r="C63" s="104" t="s">
        <v>74</v>
      </c>
      <c r="D63" s="104"/>
      <c r="E63" s="104"/>
      <c r="F63" s="104"/>
      <c r="G63" s="104"/>
      <c r="H63" s="104"/>
      <c r="I63" s="104"/>
      <c r="J63" s="104"/>
      <c r="K63" s="104"/>
      <c r="L63" s="98"/>
    </row>
    <row r="64" spans="1:12" ht="15.75">
      <c r="A64" s="98"/>
      <c r="B64" s="104"/>
      <c r="C64" s="104" t="s">
        <v>66</v>
      </c>
      <c r="D64" s="104"/>
      <c r="E64" s="104"/>
      <c r="F64" s="104"/>
      <c r="G64" s="104"/>
      <c r="H64" s="104"/>
      <c r="I64" s="104"/>
      <c r="J64" s="104"/>
      <c r="K64" s="104"/>
      <c r="L64" s="98"/>
    </row>
    <row r="65" spans="1:12" ht="15.75">
      <c r="A65" s="98"/>
      <c r="B65" s="115"/>
      <c r="C65" s="104" t="s">
        <v>67</v>
      </c>
      <c r="D65" s="104"/>
      <c r="E65" s="104"/>
      <c r="F65" s="104"/>
      <c r="G65" s="104"/>
      <c r="H65" s="104"/>
      <c r="I65" s="104"/>
      <c r="J65" s="104"/>
      <c r="K65" s="104"/>
      <c r="L65" s="98"/>
    </row>
    <row r="66" spans="1:12" ht="15.75">
      <c r="A66" s="98"/>
      <c r="B66" s="114" t="s">
        <v>61</v>
      </c>
      <c r="C66" s="104" t="s">
        <v>68</v>
      </c>
      <c r="D66" s="104"/>
      <c r="E66" s="104"/>
      <c r="F66" s="104"/>
      <c r="G66" s="104"/>
      <c r="H66" s="104"/>
      <c r="I66" s="104"/>
      <c r="J66" s="104"/>
      <c r="K66" s="104"/>
      <c r="L66" s="98"/>
    </row>
    <row r="67" spans="1:12" ht="15.75">
      <c r="A67" s="98"/>
      <c r="B67" s="114" t="s">
        <v>62</v>
      </c>
      <c r="C67" s="104" t="s">
        <v>69</v>
      </c>
      <c r="D67" s="104"/>
      <c r="E67" s="104"/>
      <c r="F67" s="104"/>
      <c r="G67" s="104"/>
      <c r="H67" s="104"/>
      <c r="I67" s="104"/>
      <c r="J67" s="104"/>
      <c r="K67" s="104"/>
      <c r="L67" s="98"/>
    </row>
    <row r="68" spans="1:12" ht="15.75">
      <c r="A68" s="98"/>
      <c r="B68" s="114" t="s">
        <v>63</v>
      </c>
      <c r="C68" s="104" t="s">
        <v>70</v>
      </c>
      <c r="D68" s="104"/>
      <c r="E68" s="104"/>
      <c r="F68" s="104"/>
      <c r="G68" s="104"/>
      <c r="H68" s="104"/>
      <c r="I68" s="104"/>
      <c r="J68" s="104"/>
      <c r="K68" s="104"/>
      <c r="L68" s="98"/>
    </row>
    <row r="69" spans="1:12" ht="15.75">
      <c r="A69" s="98"/>
      <c r="B69" s="104"/>
      <c r="C69" s="104" t="s">
        <v>71</v>
      </c>
      <c r="D69" s="104"/>
      <c r="E69" s="104"/>
      <c r="F69" s="104"/>
      <c r="G69" s="104"/>
      <c r="H69" s="104"/>
      <c r="I69" s="104"/>
      <c r="J69" s="104"/>
      <c r="K69" s="104"/>
      <c r="L69" s="98"/>
    </row>
    <row r="70" spans="1:12" ht="15.75">
      <c r="A70" s="98"/>
      <c r="B70" s="114" t="s">
        <v>64</v>
      </c>
      <c r="C70" s="104" t="s">
        <v>72</v>
      </c>
      <c r="D70" s="104"/>
      <c r="E70" s="104"/>
      <c r="F70" s="104"/>
      <c r="G70" s="104"/>
      <c r="H70" s="104"/>
      <c r="I70" s="104"/>
      <c r="J70" s="104"/>
      <c r="K70" s="104"/>
      <c r="L70" s="98"/>
    </row>
    <row r="71" spans="1:12" ht="15.75">
      <c r="A71" s="98"/>
      <c r="B71" s="104"/>
      <c r="C71" s="104" t="s">
        <v>73</v>
      </c>
      <c r="D71" s="104"/>
      <c r="E71" s="104"/>
      <c r="F71" s="104"/>
      <c r="G71" s="104"/>
      <c r="H71" s="104"/>
      <c r="I71" s="104"/>
      <c r="J71" s="104"/>
      <c r="K71" s="104"/>
      <c r="L71" s="98"/>
    </row>
    <row r="72" spans="1:12" ht="15.75">
      <c r="A72" s="98"/>
      <c r="B72" s="104"/>
      <c r="C72" s="104"/>
      <c r="D72" s="104"/>
      <c r="E72" s="104"/>
      <c r="F72" s="104"/>
      <c r="G72" s="104"/>
      <c r="H72" s="104"/>
      <c r="I72" s="104"/>
      <c r="J72" s="104"/>
      <c r="K72" s="104"/>
      <c r="L72" s="98"/>
    </row>
    <row r="73" spans="1:12">
      <c r="A73" s="98"/>
      <c r="B73" s="98"/>
      <c r="C73" s="98"/>
      <c r="D73" s="98"/>
      <c r="E73" s="98"/>
      <c r="F73" s="98"/>
      <c r="G73" s="98"/>
      <c r="H73" s="98"/>
      <c r="I73" s="98"/>
      <c r="J73" s="98"/>
      <c r="K73" s="98"/>
      <c r="L73" s="98"/>
    </row>
    <row r="74" spans="1:12">
      <c r="A74" s="98"/>
      <c r="B74" s="98"/>
      <c r="C74" s="98"/>
      <c r="D74" s="98"/>
      <c r="E74" s="98"/>
      <c r="F74" s="98"/>
      <c r="G74" s="98"/>
      <c r="H74" s="98"/>
      <c r="I74" s="98"/>
      <c r="J74" s="98"/>
      <c r="K74" s="98"/>
      <c r="L74" s="98"/>
    </row>
    <row r="75" spans="1:12">
      <c r="A75" s="98"/>
      <c r="B75" s="98"/>
      <c r="C75" s="98"/>
      <c r="D75" s="98"/>
      <c r="E75" s="98"/>
      <c r="F75" s="98"/>
      <c r="G75" s="98"/>
      <c r="H75" s="98"/>
      <c r="I75" s="98"/>
      <c r="J75" s="98"/>
      <c r="K75" s="98"/>
      <c r="L75" s="98"/>
    </row>
    <row r="76" spans="1:12">
      <c r="A76" s="98"/>
      <c r="B76" s="98"/>
      <c r="C76" s="98"/>
      <c r="D76" s="98"/>
      <c r="E76" s="98"/>
      <c r="F76" s="98"/>
      <c r="G76" s="98"/>
      <c r="H76" s="98"/>
      <c r="I76" s="98"/>
      <c r="J76" s="98"/>
      <c r="K76" s="98"/>
      <c r="L76" s="98"/>
    </row>
    <row r="77" spans="1:12">
      <c r="A77" s="98"/>
      <c r="B77" s="98"/>
      <c r="C77" s="98"/>
      <c r="D77" s="98"/>
      <c r="E77" s="98"/>
      <c r="F77" s="98"/>
      <c r="G77" s="98"/>
      <c r="H77" s="98"/>
      <c r="I77" s="98"/>
      <c r="J77" s="98"/>
      <c r="K77" s="98"/>
      <c r="L77" s="98"/>
    </row>
    <row r="78" spans="1:12">
      <c r="A78" s="98"/>
      <c r="B78" s="98"/>
      <c r="C78" s="98"/>
      <c r="D78" s="98"/>
      <c r="E78" s="98"/>
      <c r="F78" s="98"/>
      <c r="G78" s="98"/>
      <c r="H78" s="98"/>
      <c r="I78" s="98"/>
      <c r="J78" s="98"/>
      <c r="K78" s="98"/>
      <c r="L78" s="98"/>
    </row>
    <row r="79" spans="1:12">
      <c r="A79" s="98"/>
      <c r="B79" s="98"/>
      <c r="C79" s="98"/>
      <c r="D79" s="98"/>
      <c r="E79" s="98"/>
      <c r="F79" s="98"/>
      <c r="G79" s="98"/>
      <c r="H79" s="98"/>
      <c r="I79" s="98"/>
      <c r="J79" s="98"/>
      <c r="K79" s="98"/>
      <c r="L79" s="98"/>
    </row>
    <row r="80" spans="1:12">
      <c r="A80" s="98"/>
      <c r="B80" s="98"/>
      <c r="C80" s="98"/>
      <c r="D80" s="98"/>
      <c r="E80" s="98"/>
      <c r="F80" s="98"/>
      <c r="G80" s="98"/>
      <c r="H80" s="98"/>
      <c r="I80" s="98"/>
      <c r="J80" s="98"/>
      <c r="K80" s="98"/>
      <c r="L80" s="98"/>
    </row>
    <row r="81" spans="1:12">
      <c r="A81" s="98"/>
      <c r="B81" s="98"/>
      <c r="C81" s="98"/>
      <c r="D81" s="98"/>
      <c r="E81" s="98"/>
      <c r="F81" s="98"/>
      <c r="G81" s="98"/>
      <c r="H81" s="98"/>
      <c r="I81" s="98"/>
      <c r="J81" s="98"/>
      <c r="K81" s="98"/>
      <c r="L81" s="98"/>
    </row>
    <row r="82" spans="1:12">
      <c r="A82" s="98"/>
      <c r="B82" s="98"/>
      <c r="C82" s="98"/>
      <c r="D82" s="98"/>
      <c r="E82" s="98"/>
      <c r="F82" s="98"/>
      <c r="G82" s="98"/>
      <c r="H82" s="98"/>
      <c r="I82" s="98"/>
      <c r="J82" s="98"/>
      <c r="K82" s="98"/>
      <c r="L82" s="98"/>
    </row>
    <row r="83" spans="1:12">
      <c r="A83" s="98"/>
      <c r="B83" s="98"/>
      <c r="C83" s="98"/>
      <c r="D83" s="98"/>
      <c r="E83" s="98"/>
      <c r="F83" s="98"/>
      <c r="G83" s="98"/>
      <c r="H83" s="98"/>
      <c r="I83" s="98"/>
      <c r="J83" s="98"/>
      <c r="K83" s="98"/>
      <c r="L83" s="98"/>
    </row>
    <row r="84" spans="1:12">
      <c r="A84" s="98"/>
      <c r="B84" s="98"/>
      <c r="C84" s="98"/>
      <c r="D84" s="98"/>
      <c r="E84" s="98"/>
      <c r="F84" s="98"/>
      <c r="G84" s="98"/>
      <c r="H84" s="98"/>
      <c r="I84" s="98"/>
      <c r="J84" s="98"/>
      <c r="K84" s="98"/>
      <c r="L84" s="98"/>
    </row>
    <row r="85" spans="1:12">
      <c r="A85" s="98"/>
      <c r="B85" s="98"/>
      <c r="C85" s="98"/>
      <c r="D85" s="98"/>
      <c r="E85" s="98"/>
      <c r="F85" s="98"/>
      <c r="G85" s="98"/>
      <c r="H85" s="98"/>
      <c r="I85" s="98"/>
      <c r="J85" s="98"/>
      <c r="K85" s="98"/>
      <c r="L85" s="98"/>
    </row>
    <row r="86" spans="1:12">
      <c r="A86" s="98"/>
      <c r="B86" s="98"/>
      <c r="C86" s="98"/>
      <c r="D86" s="98"/>
      <c r="E86" s="98"/>
      <c r="F86" s="98"/>
      <c r="G86" s="98"/>
      <c r="H86" s="98"/>
      <c r="I86" s="98"/>
      <c r="J86" s="98"/>
      <c r="K86" s="98"/>
      <c r="L86" s="98"/>
    </row>
    <row r="87" spans="1:12">
      <c r="A87" s="98"/>
      <c r="B87" s="98"/>
      <c r="C87" s="98"/>
      <c r="D87" s="98"/>
      <c r="E87" s="98"/>
      <c r="F87" s="98"/>
      <c r="G87" s="98"/>
      <c r="H87" s="98"/>
      <c r="I87" s="98"/>
      <c r="J87" s="98"/>
      <c r="K87" s="98"/>
      <c r="L87" s="98"/>
    </row>
    <row r="88" spans="1:12">
      <c r="A88" s="98"/>
      <c r="B88" s="98"/>
      <c r="C88" s="98"/>
      <c r="D88" s="98"/>
      <c r="E88" s="98"/>
      <c r="F88" s="98"/>
      <c r="G88" s="98"/>
      <c r="H88" s="98"/>
      <c r="I88" s="98"/>
      <c r="J88" s="98"/>
      <c r="K88" s="98"/>
      <c r="L88" s="98"/>
    </row>
    <row r="89" spans="1:12">
      <c r="A89" s="98"/>
      <c r="B89" s="98"/>
      <c r="C89" s="98"/>
      <c r="D89" s="98"/>
      <c r="E89" s="98"/>
      <c r="F89" s="98"/>
      <c r="G89" s="98"/>
      <c r="H89" s="98"/>
      <c r="I89" s="98"/>
      <c r="J89" s="98"/>
      <c r="K89" s="98"/>
      <c r="L89" s="98"/>
    </row>
    <row r="90" spans="1:12">
      <c r="A90" s="98"/>
      <c r="B90" s="98"/>
      <c r="C90" s="98"/>
      <c r="D90" s="98"/>
      <c r="E90" s="98"/>
      <c r="F90" s="98"/>
      <c r="G90" s="98"/>
      <c r="H90" s="98"/>
      <c r="I90" s="98"/>
      <c r="J90" s="98"/>
      <c r="K90" s="98"/>
      <c r="L90" s="98"/>
    </row>
    <row r="91" spans="1:12">
      <c r="A91" s="98"/>
      <c r="B91" s="98"/>
      <c r="C91" s="98"/>
      <c r="D91" s="98"/>
      <c r="E91" s="98"/>
      <c r="F91" s="98"/>
      <c r="G91" s="98"/>
      <c r="H91" s="98"/>
      <c r="I91" s="98"/>
      <c r="J91" s="98"/>
      <c r="K91" s="98"/>
      <c r="L91" s="98"/>
    </row>
    <row r="92" spans="1:12">
      <c r="A92" s="98"/>
      <c r="B92" s="98"/>
      <c r="C92" s="98"/>
      <c r="D92" s="98"/>
      <c r="E92" s="98"/>
      <c r="F92" s="98"/>
      <c r="G92" s="98"/>
      <c r="H92" s="98"/>
      <c r="I92" s="98"/>
      <c r="J92" s="98"/>
      <c r="K92" s="98"/>
      <c r="L92" s="98"/>
    </row>
    <row r="93" spans="1:12">
      <c r="A93" s="98"/>
      <c r="B93" s="98"/>
      <c r="C93" s="98"/>
      <c r="D93" s="98"/>
      <c r="E93" s="98"/>
      <c r="F93" s="98"/>
      <c r="G93" s="98"/>
      <c r="H93" s="98"/>
      <c r="I93" s="98"/>
      <c r="J93" s="98"/>
      <c r="K93" s="98"/>
      <c r="L93" s="98"/>
    </row>
    <row r="94" spans="1:12">
      <c r="A94" s="98"/>
      <c r="B94" s="98"/>
      <c r="C94" s="98"/>
      <c r="D94" s="98"/>
      <c r="E94" s="98"/>
      <c r="F94" s="98"/>
      <c r="G94" s="98"/>
      <c r="H94" s="98"/>
      <c r="I94" s="98"/>
      <c r="J94" s="98"/>
      <c r="K94" s="98"/>
      <c r="L94" s="98"/>
    </row>
    <row r="95" spans="1:12">
      <c r="A95" s="98"/>
      <c r="B95" s="98"/>
      <c r="C95" s="98"/>
      <c r="D95" s="98"/>
      <c r="E95" s="98"/>
      <c r="F95" s="98"/>
      <c r="G95" s="98"/>
      <c r="H95" s="98"/>
      <c r="I95" s="98"/>
      <c r="J95" s="98"/>
      <c r="K95" s="98"/>
      <c r="L95" s="98"/>
    </row>
    <row r="96" spans="1:12">
      <c r="A96" s="98"/>
      <c r="B96" s="98"/>
      <c r="C96" s="98"/>
      <c r="D96" s="98"/>
      <c r="E96" s="98"/>
      <c r="F96" s="98"/>
      <c r="G96" s="98"/>
      <c r="H96" s="98"/>
      <c r="I96" s="98"/>
      <c r="J96" s="98"/>
      <c r="K96" s="98"/>
      <c r="L96" s="98"/>
    </row>
    <row r="97" spans="1:12">
      <c r="A97" s="98"/>
      <c r="B97" s="98"/>
      <c r="C97" s="98"/>
      <c r="D97" s="98"/>
      <c r="E97" s="98"/>
      <c r="F97" s="98"/>
      <c r="G97" s="98"/>
      <c r="H97" s="98"/>
      <c r="I97" s="98"/>
      <c r="J97" s="98"/>
      <c r="K97" s="98"/>
      <c r="L97" s="98"/>
    </row>
    <row r="98" spans="1:12">
      <c r="A98" s="98"/>
      <c r="B98" s="98"/>
      <c r="C98" s="98"/>
      <c r="D98" s="98"/>
      <c r="E98" s="98"/>
      <c r="F98" s="98"/>
      <c r="G98" s="98"/>
      <c r="H98" s="98"/>
      <c r="I98" s="98"/>
      <c r="J98" s="98"/>
      <c r="K98" s="98"/>
      <c r="L98" s="98"/>
    </row>
    <row r="99" spans="1:12">
      <c r="A99" s="98"/>
      <c r="B99" s="98"/>
      <c r="C99" s="98"/>
      <c r="D99" s="98"/>
      <c r="E99" s="98"/>
      <c r="F99" s="98"/>
      <c r="G99" s="98"/>
      <c r="H99" s="98"/>
      <c r="I99" s="98"/>
      <c r="J99" s="98"/>
      <c r="K99" s="98"/>
      <c r="L99" s="98"/>
    </row>
    <row r="100" spans="1:12" ht="21" customHeight="1">
      <c r="A100" s="89"/>
      <c r="B100" s="89"/>
      <c r="C100" s="89"/>
      <c r="D100" s="89"/>
      <c r="E100" s="89"/>
      <c r="F100" s="89"/>
      <c r="G100" s="89"/>
      <c r="H100" s="89"/>
      <c r="I100" s="89"/>
      <c r="J100" s="89"/>
      <c r="K100" s="89"/>
      <c r="L100" s="89"/>
    </row>
  </sheetData>
  <sheetProtection algorithmName="SHA-512" hashValue="JLcajTuMOQ5Oqcg09KkGkdtO1L4k9bvszOhhHyqdEuZdhhAOwKq+24hpl1FdXhnh6IOzFs8Knt6z0OEapnV2XQ==" saltValue="O7nFxdd84C71NLrisUX1Qg==" spinCount="100000" sheet="1" objects="1" scenarios="1" selectLockedCells="1"/>
  <mergeCells count="5">
    <mergeCell ref="C1:J4"/>
    <mergeCell ref="B47:K47"/>
    <mergeCell ref="B5:K6"/>
    <mergeCell ref="B7:K7"/>
    <mergeCell ref="B43:K44"/>
  </mergeCells>
  <hyperlinks>
    <hyperlink ref="B7" r:id="rId1" xr:uid="{6CF1C776-2EA3-463B-ACEE-A402EE25B255}"/>
    <hyperlink ref="B47" r:id="rId2" xr:uid="{8FB1D409-633A-4D39-8FC8-FC2D33BE4A15}"/>
  </hyperlinks>
  <pageMargins left="0.39370078740157483" right="0.23622047244094491" top="0.74803149606299213" bottom="0.74803149606299213" header="0.31496062992125984" footer="0.31496062992125984"/>
  <pageSetup paperSize="9" fitToHeight="2" orientation="portrait" r:id="rId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89976-758C-465E-8897-AFFE72A90531}">
  <sheetPr codeName="Ark18">
    <tabColor theme="9" tint="0.79998168889431442"/>
    <pageSetUpPr fitToPage="1"/>
  </sheetPr>
  <dimension ref="A1:U150"/>
  <sheetViews>
    <sheetView showGridLines="0" showRowColHeaders="0" zoomScaleNormal="100" workbookViewId="0">
      <pane ySplit="4" topLeftCell="A88" activePane="bottomLeft" state="frozen"/>
      <selection pane="bottomLeft" activeCell="A12" sqref="A12:A28"/>
    </sheetView>
  </sheetViews>
  <sheetFormatPr defaultColWidth="0" defaultRowHeight="15" zeroHeight="1"/>
  <cols>
    <col min="1" max="1" width="2.42578125" customWidth="1"/>
    <col min="2" max="2" width="3.28515625" customWidth="1"/>
    <col min="3" max="3" width="7.7109375" customWidth="1"/>
    <col min="4" max="4" width="11.42578125" customWidth="1"/>
    <col min="5" max="5" width="15" customWidth="1"/>
    <col min="6" max="7" width="13" customWidth="1"/>
    <col min="8" max="8" width="9.140625" customWidth="1"/>
    <col min="9" max="10" width="10.140625" customWidth="1"/>
    <col min="11" max="11" width="12" customWidth="1"/>
    <col min="12" max="12" width="10.140625" customWidth="1"/>
    <col min="13" max="13" width="10.7109375" customWidth="1"/>
    <col min="14" max="14" width="6.7109375" customWidth="1"/>
    <col min="15" max="15" width="3.42578125" customWidth="1"/>
    <col min="16" max="16" width="2.7109375" customWidth="1"/>
    <col min="17" max="17" width="9.140625" hidden="1" customWidth="1"/>
    <col min="18" max="18" width="22.5703125" hidden="1" customWidth="1"/>
    <col min="19" max="19" width="23.7109375" hidden="1" customWidth="1"/>
    <col min="20" max="20" width="22.7109375" hidden="1" customWidth="1"/>
    <col min="21" max="21" width="20.7109375" hidden="1" customWidth="1"/>
    <col min="22" max="16384" width="9.140625" hidden="1"/>
  </cols>
  <sheetData>
    <row r="1" spans="1:20" ht="15" customHeight="1">
      <c r="A1" s="217"/>
      <c r="B1" s="217"/>
      <c r="C1" s="2134" t="s">
        <v>83</v>
      </c>
      <c r="D1" s="2134"/>
      <c r="E1" s="2134"/>
      <c r="F1" s="441"/>
      <c r="G1" s="441"/>
      <c r="H1" s="441"/>
      <c r="I1" s="441"/>
      <c r="J1" s="441"/>
      <c r="K1" s="442"/>
      <c r="L1" s="442"/>
      <c r="M1" s="443"/>
      <c r="N1" s="443"/>
      <c r="O1" s="442"/>
      <c r="P1" s="442"/>
    </row>
    <row r="2" spans="1:20" ht="15" customHeight="1">
      <c r="A2" s="217"/>
      <c r="B2" s="217"/>
      <c r="C2" s="2134"/>
      <c r="D2" s="2134"/>
      <c r="E2" s="2134"/>
      <c r="F2" s="2133"/>
      <c r="G2" s="2133"/>
      <c r="H2" s="2133"/>
      <c r="I2" s="2133"/>
      <c r="J2" s="2133"/>
      <c r="K2" s="2133"/>
      <c r="L2" s="2133"/>
      <c r="M2" s="2133"/>
      <c r="N2" s="443"/>
      <c r="O2" s="442"/>
      <c r="P2" s="442"/>
    </row>
    <row r="3" spans="1:20" ht="15" customHeight="1">
      <c r="A3" s="217"/>
      <c r="B3" s="217"/>
      <c r="C3" s="2134"/>
      <c r="D3" s="2134"/>
      <c r="E3" s="2134"/>
      <c r="F3" s="2133"/>
      <c r="G3" s="2133"/>
      <c r="H3" s="2133"/>
      <c r="I3" s="2133"/>
      <c r="J3" s="2133"/>
      <c r="K3" s="2133"/>
      <c r="L3" s="2133"/>
      <c r="M3" s="2133"/>
      <c r="N3" s="443"/>
      <c r="O3" s="442"/>
      <c r="P3" s="442"/>
    </row>
    <row r="4" spans="1:20" ht="15.75" customHeight="1" thickBot="1">
      <c r="A4" s="253"/>
      <c r="B4" s="253"/>
      <c r="C4" s="2135"/>
      <c r="D4" s="2135"/>
      <c r="E4" s="2135"/>
      <c r="F4" s="444"/>
      <c r="G4" s="444"/>
      <c r="H4" s="444"/>
      <c r="I4" s="444"/>
      <c r="J4" s="444"/>
      <c r="K4" s="445"/>
      <c r="L4" s="445"/>
      <c r="M4" s="446"/>
      <c r="N4" s="446"/>
      <c r="O4" s="445"/>
      <c r="P4" s="445"/>
    </row>
    <row r="5" spans="1:20" ht="15.75" thickTop="1">
      <c r="A5" s="89"/>
      <c r="B5" s="98"/>
      <c r="C5" s="98"/>
      <c r="D5" s="98"/>
      <c r="E5" s="98"/>
      <c r="F5" s="98"/>
      <c r="G5" s="98"/>
      <c r="H5" s="98"/>
      <c r="I5" s="98"/>
      <c r="J5" s="98"/>
      <c r="K5" s="98"/>
      <c r="L5" s="98"/>
      <c r="M5" s="98"/>
      <c r="N5" s="98"/>
      <c r="O5" s="98"/>
      <c r="P5" s="89"/>
    </row>
    <row r="6" spans="1:20">
      <c r="A6" s="89"/>
      <c r="B6" s="368"/>
      <c r="C6" s="368"/>
      <c r="D6" s="368"/>
      <c r="E6" s="368"/>
      <c r="F6" s="368"/>
      <c r="G6" s="368"/>
      <c r="H6" s="368"/>
      <c r="I6" s="368"/>
      <c r="J6" s="368"/>
      <c r="K6" s="368"/>
      <c r="L6" s="368"/>
      <c r="M6" s="368"/>
      <c r="N6" s="368"/>
      <c r="O6" s="368"/>
      <c r="P6" s="89"/>
    </row>
    <row r="7" spans="1:20" ht="26.25">
      <c r="A7" s="89"/>
      <c r="B7" s="368"/>
      <c r="C7" s="383" t="s">
        <v>609</v>
      </c>
      <c r="D7" s="368"/>
      <c r="E7" s="368"/>
      <c r="F7" s="368"/>
      <c r="G7" s="368"/>
      <c r="H7" s="368"/>
      <c r="I7" s="368"/>
      <c r="J7" s="368"/>
      <c r="K7" s="368"/>
      <c r="L7" s="368"/>
      <c r="M7" s="368"/>
      <c r="N7" s="368"/>
      <c r="O7" s="368"/>
      <c r="P7" s="89"/>
      <c r="R7" s="105"/>
    </row>
    <row r="8" spans="1:20">
      <c r="A8" s="89"/>
      <c r="B8" s="368"/>
      <c r="C8" s="368"/>
      <c r="D8" s="368"/>
      <c r="E8" s="368"/>
      <c r="F8" s="368"/>
      <c r="G8" s="368"/>
      <c r="H8" s="368"/>
      <c r="I8" s="368"/>
      <c r="J8" s="368"/>
      <c r="K8" s="368"/>
      <c r="L8" s="368"/>
      <c r="M8" s="368"/>
      <c r="N8" s="368"/>
      <c r="O8" s="368"/>
      <c r="P8" s="89"/>
    </row>
    <row r="9" spans="1:20" s="105" customFormat="1" ht="18.75">
      <c r="A9" s="103"/>
      <c r="B9" s="367"/>
      <c r="C9" s="2124" t="s">
        <v>610</v>
      </c>
      <c r="D9" s="2124"/>
      <c r="E9" s="2124"/>
      <c r="F9" s="2124"/>
      <c r="G9" s="2124"/>
      <c r="H9" s="2124"/>
      <c r="I9" s="2124"/>
      <c r="J9" s="2124"/>
      <c r="K9" s="2124"/>
      <c r="L9" s="2124"/>
      <c r="M9" s="2124"/>
      <c r="N9" s="2124"/>
      <c r="O9" s="367"/>
      <c r="P9" s="103"/>
      <c r="Q9" s="88"/>
      <c r="S9" s="88"/>
      <c r="T9" s="88"/>
    </row>
    <row r="10" spans="1:20" s="105" customFormat="1" ht="18.75">
      <c r="A10" s="103"/>
      <c r="B10" s="367"/>
      <c r="C10" s="2124"/>
      <c r="D10" s="2124"/>
      <c r="E10" s="2124"/>
      <c r="F10" s="2124"/>
      <c r="G10" s="2124"/>
      <c r="H10" s="2124"/>
      <c r="I10" s="2124"/>
      <c r="J10" s="2124"/>
      <c r="K10" s="2124"/>
      <c r="L10" s="2124"/>
      <c r="M10" s="2124"/>
      <c r="N10" s="2124"/>
      <c r="O10" s="367"/>
      <c r="P10" s="103"/>
      <c r="Q10" s="88"/>
      <c r="S10" s="88"/>
      <c r="T10" s="88"/>
    </row>
    <row r="11" spans="1:20" s="105" customFormat="1" ht="18.75">
      <c r="A11" s="103"/>
      <c r="B11" s="367"/>
      <c r="C11" s="384"/>
      <c r="D11" s="384"/>
      <c r="E11" s="384"/>
      <c r="F11" s="384"/>
      <c r="G11" s="384"/>
      <c r="H11" s="384"/>
      <c r="I11" s="384"/>
      <c r="J11" s="384"/>
      <c r="K11" s="384"/>
      <c r="L11" s="384"/>
      <c r="M11" s="384"/>
      <c r="N11" s="384"/>
      <c r="O11" s="367"/>
      <c r="P11" s="103"/>
      <c r="Q11" s="88"/>
      <c r="S11" s="88"/>
      <c r="T11" s="88"/>
    </row>
    <row r="12" spans="1:20" s="105" customFormat="1" ht="27" thickBot="1">
      <c r="A12" s="2137"/>
      <c r="B12" s="367"/>
      <c r="C12" s="429" t="s">
        <v>305</v>
      </c>
      <c r="D12" s="434"/>
      <c r="E12" s="435"/>
      <c r="F12" s="435"/>
      <c r="G12" s="435"/>
      <c r="H12" s="435"/>
      <c r="I12" s="359"/>
      <c r="J12" s="430"/>
      <c r="K12" s="430"/>
      <c r="L12" s="430"/>
      <c r="M12" s="430"/>
      <c r="N12" s="430"/>
      <c r="O12" s="367"/>
      <c r="P12" s="103"/>
      <c r="Q12" s="88"/>
      <c r="S12" s="88"/>
      <c r="T12" s="88"/>
    </row>
    <row r="13" spans="1:20" s="105" customFormat="1" ht="15.75" customHeight="1">
      <c r="A13" s="2137"/>
      <c r="B13" s="367"/>
      <c r="C13" s="388"/>
      <c r="D13" s="385"/>
      <c r="E13" s="386"/>
      <c r="F13" s="386"/>
      <c r="G13" s="386"/>
      <c r="H13" s="386"/>
      <c r="I13" s="226"/>
      <c r="J13" s="387"/>
      <c r="K13" s="387"/>
      <c r="L13" s="387"/>
      <c r="M13" s="387"/>
      <c r="N13" s="387"/>
      <c r="O13" s="367"/>
      <c r="P13" s="103"/>
      <c r="Q13" s="88"/>
      <c r="S13" s="88"/>
      <c r="T13" s="88"/>
    </row>
    <row r="14" spans="1:20" s="105" customFormat="1" ht="18.75">
      <c r="A14" s="2137"/>
      <c r="B14" s="367"/>
      <c r="C14" s="2100" t="s">
        <v>611</v>
      </c>
      <c r="D14" s="2100"/>
      <c r="E14" s="2100"/>
      <c r="F14" s="2100"/>
      <c r="G14" s="2100"/>
      <c r="H14" s="2100"/>
      <c r="I14" s="2100"/>
      <c r="J14" s="2100"/>
      <c r="K14" s="2100"/>
      <c r="L14" s="2100"/>
      <c r="M14" s="2100"/>
      <c r="N14" s="2100"/>
      <c r="O14" s="367"/>
      <c r="P14" s="103"/>
      <c r="Q14" s="88"/>
      <c r="S14" s="88"/>
      <c r="T14" s="88"/>
    </row>
    <row r="15" spans="1:20" s="105" customFormat="1" ht="78" customHeight="1">
      <c r="A15" s="2137"/>
      <c r="B15" s="367"/>
      <c r="C15" s="2100"/>
      <c r="D15" s="2100"/>
      <c r="E15" s="2100"/>
      <c r="F15" s="2100"/>
      <c r="G15" s="2100"/>
      <c r="H15" s="2100"/>
      <c r="I15" s="2100"/>
      <c r="J15" s="2100"/>
      <c r="K15" s="2100"/>
      <c r="L15" s="2100"/>
      <c r="M15" s="2100"/>
      <c r="N15" s="2100"/>
      <c r="O15" s="367"/>
      <c r="P15" s="103"/>
      <c r="Q15" s="88"/>
      <c r="S15" s="88"/>
      <c r="T15" s="88"/>
    </row>
    <row r="16" spans="1:20" s="105" customFormat="1" ht="230.25" customHeight="1">
      <c r="A16" s="2137"/>
      <c r="B16" s="367"/>
      <c r="C16" s="382"/>
      <c r="D16" s="382"/>
      <c r="E16" s="382"/>
      <c r="F16" s="382"/>
      <c r="G16" s="382"/>
      <c r="H16" s="382"/>
      <c r="I16" s="382"/>
      <c r="J16" s="387"/>
      <c r="K16" s="387"/>
      <c r="L16" s="387"/>
      <c r="M16" s="387"/>
      <c r="N16" s="387"/>
      <c r="O16" s="367"/>
      <c r="P16" s="103"/>
      <c r="Q16" s="88"/>
      <c r="R16" s="88"/>
      <c r="S16" s="88"/>
      <c r="T16" s="88"/>
    </row>
    <row r="17" spans="1:20" s="105" customFormat="1" ht="35.25" customHeight="1">
      <c r="A17" s="2137"/>
      <c r="B17" s="367"/>
      <c r="C17" s="2100" t="s">
        <v>612</v>
      </c>
      <c r="D17" s="2100"/>
      <c r="E17" s="2100"/>
      <c r="F17" s="2100"/>
      <c r="G17" s="2100"/>
      <c r="H17" s="2100"/>
      <c r="I17" s="2100"/>
      <c r="J17" s="2100"/>
      <c r="K17" s="2100"/>
      <c r="L17" s="2100"/>
      <c r="M17" s="2100"/>
      <c r="N17" s="2100"/>
      <c r="O17" s="367"/>
      <c r="P17" s="103"/>
      <c r="Q17" s="88"/>
      <c r="R17" s="88"/>
      <c r="S17" s="88"/>
      <c r="T17" s="88"/>
    </row>
    <row r="18" spans="1:20" s="105" customFormat="1" ht="18.75">
      <c r="A18" s="2137"/>
      <c r="B18" s="367"/>
      <c r="C18" s="382"/>
      <c r="D18" s="382"/>
      <c r="E18" s="382"/>
      <c r="F18" s="382"/>
      <c r="G18" s="382"/>
      <c r="H18" s="382"/>
      <c r="I18" s="382"/>
      <c r="J18" s="387"/>
      <c r="K18" s="387"/>
      <c r="L18" s="387"/>
      <c r="M18" s="387"/>
      <c r="N18" s="387"/>
      <c r="O18" s="367"/>
      <c r="P18" s="103"/>
      <c r="Q18" s="88"/>
      <c r="R18" s="88"/>
      <c r="S18" s="88"/>
      <c r="T18" s="88"/>
    </row>
    <row r="19" spans="1:20" s="105" customFormat="1" ht="18.75">
      <c r="A19" s="2137"/>
      <c r="B19" s="367"/>
      <c r="C19" s="382"/>
      <c r="D19" s="459" t="s">
        <v>579</v>
      </c>
      <c r="E19" s="460"/>
      <c r="F19" s="461" t="s">
        <v>501</v>
      </c>
      <c r="G19" s="461" t="s">
        <v>305</v>
      </c>
      <c r="H19" s="2127" t="s">
        <v>578</v>
      </c>
      <c r="I19" s="2128"/>
      <c r="K19" s="424"/>
      <c r="L19" s="387"/>
      <c r="M19" s="387"/>
      <c r="N19" s="387"/>
      <c r="O19" s="367"/>
      <c r="P19" s="103"/>
      <c r="Q19" s="88"/>
      <c r="R19" s="88"/>
      <c r="S19" s="88"/>
      <c r="T19" s="88"/>
    </row>
    <row r="20" spans="1:20" s="105" customFormat="1" ht="18.75">
      <c r="A20" s="2137"/>
      <c r="B20" s="367"/>
      <c r="C20" s="382"/>
      <c r="D20" s="462" t="s">
        <v>570</v>
      </c>
      <c r="F20" s="463" t="s">
        <v>571</v>
      </c>
      <c r="G20" s="464" t="s">
        <v>563</v>
      </c>
      <c r="H20" s="465" t="s">
        <v>553</v>
      </c>
      <c r="I20" s="422"/>
      <c r="K20" s="18"/>
      <c r="L20" s="387"/>
      <c r="M20" s="387"/>
      <c r="N20" s="387"/>
      <c r="O20" s="367"/>
      <c r="P20" s="103"/>
      <c r="Q20" s="88"/>
      <c r="R20" s="88"/>
      <c r="S20" s="88"/>
      <c r="T20" s="88"/>
    </row>
    <row r="21" spans="1:20" s="105" customFormat="1" ht="18.75">
      <c r="A21" s="2137"/>
      <c r="B21" s="367"/>
      <c r="C21" s="382"/>
      <c r="D21" s="462" t="s">
        <v>572</v>
      </c>
      <c r="F21" s="463" t="s">
        <v>573</v>
      </c>
      <c r="G21" s="464" t="s">
        <v>512</v>
      </c>
      <c r="H21" s="465" t="s">
        <v>555</v>
      </c>
      <c r="I21" s="422"/>
      <c r="K21" s="18"/>
      <c r="L21" s="387"/>
      <c r="M21" s="387"/>
      <c r="N21" s="387"/>
      <c r="O21" s="367"/>
      <c r="P21" s="103"/>
      <c r="Q21" s="88"/>
      <c r="R21" s="88"/>
      <c r="S21" s="88"/>
      <c r="T21" s="88"/>
    </row>
    <row r="22" spans="1:20" s="105" customFormat="1" ht="18.75">
      <c r="A22" s="2137"/>
      <c r="B22" s="367"/>
      <c r="C22" s="382"/>
      <c r="D22" s="462" t="s">
        <v>574</v>
      </c>
      <c r="F22" s="463" t="s">
        <v>575</v>
      </c>
      <c r="G22" s="464" t="s">
        <v>561</v>
      </c>
      <c r="H22" s="465" t="s">
        <v>556</v>
      </c>
      <c r="I22" s="422"/>
      <c r="K22" s="18"/>
      <c r="L22" s="387"/>
      <c r="M22" s="387"/>
      <c r="N22" s="387"/>
      <c r="O22" s="367"/>
      <c r="P22" s="103"/>
      <c r="Q22" s="88"/>
      <c r="R22" s="88"/>
      <c r="S22" s="88"/>
      <c r="T22" s="88"/>
    </row>
    <row r="23" spans="1:20" s="105" customFormat="1" ht="18.75">
      <c r="A23" s="2137"/>
      <c r="B23" s="367"/>
      <c r="C23" s="382"/>
      <c r="D23" s="466" t="s">
        <v>576</v>
      </c>
      <c r="E23" s="467"/>
      <c r="F23" s="468" t="s">
        <v>577</v>
      </c>
      <c r="G23" s="469" t="s">
        <v>560</v>
      </c>
      <c r="H23" s="470" t="s">
        <v>580</v>
      </c>
      <c r="I23" s="423"/>
      <c r="K23" s="18"/>
      <c r="L23" s="387"/>
      <c r="M23" s="387"/>
      <c r="N23" s="387"/>
      <c r="O23" s="367"/>
      <c r="P23" s="103"/>
      <c r="Q23" s="88"/>
      <c r="R23" s="88"/>
      <c r="S23" s="88"/>
      <c r="T23" s="88"/>
    </row>
    <row r="24" spans="1:20" s="105" customFormat="1" ht="18.75">
      <c r="A24" s="2137"/>
      <c r="B24" s="367"/>
      <c r="C24" s="382"/>
      <c r="D24" s="382"/>
      <c r="E24" s="382"/>
      <c r="F24" s="382"/>
      <c r="G24" s="382"/>
      <c r="H24" s="382"/>
      <c r="I24" s="382"/>
      <c r="J24" s="387"/>
      <c r="K24" s="387"/>
      <c r="L24" s="387"/>
      <c r="M24" s="387"/>
      <c r="N24" s="387"/>
      <c r="O24" s="367"/>
      <c r="P24" s="103"/>
      <c r="Q24" s="88"/>
      <c r="R24" s="88"/>
      <c r="S24" s="88"/>
      <c r="T24" s="88"/>
    </row>
    <row r="25" spans="1:20" s="105" customFormat="1" ht="18.75">
      <c r="A25" s="2137"/>
      <c r="B25" s="367"/>
      <c r="C25" s="382"/>
      <c r="D25" s="382"/>
      <c r="E25" s="382"/>
      <c r="F25" s="382"/>
      <c r="G25" s="382"/>
      <c r="H25" s="382"/>
      <c r="I25" s="382"/>
      <c r="J25" s="387"/>
      <c r="K25" s="387"/>
      <c r="L25" s="387"/>
      <c r="M25" s="387"/>
      <c r="N25" s="387"/>
      <c r="O25" s="367"/>
      <c r="P25" s="103"/>
      <c r="Q25" s="88"/>
      <c r="R25" s="88"/>
      <c r="S25" s="88"/>
      <c r="T25" s="88"/>
    </row>
    <row r="26" spans="1:20" s="105" customFormat="1" ht="18.75">
      <c r="A26" s="2137"/>
      <c r="B26" s="367"/>
      <c r="C26" s="390" t="s">
        <v>475</v>
      </c>
      <c r="D26" s="226"/>
      <c r="E26" s="226"/>
      <c r="F26" s="226"/>
      <c r="G26" s="226"/>
      <c r="H26" s="226"/>
      <c r="I26" s="226"/>
      <c r="J26" s="387"/>
      <c r="K26" s="387"/>
      <c r="L26" s="387"/>
      <c r="M26" s="387"/>
      <c r="N26" s="387"/>
      <c r="O26" s="367"/>
      <c r="P26" s="103"/>
      <c r="Q26" s="88"/>
      <c r="R26" s="88"/>
      <c r="S26" s="88"/>
      <c r="T26" s="88"/>
    </row>
    <row r="27" spans="1:20" s="105" customFormat="1" ht="18.75" customHeight="1">
      <c r="A27" s="2137"/>
      <c r="B27" s="367"/>
      <c r="C27" s="2100" t="s">
        <v>742</v>
      </c>
      <c r="D27" s="2100"/>
      <c r="E27" s="2100"/>
      <c r="F27" s="2100"/>
      <c r="G27" s="2100"/>
      <c r="H27" s="2100"/>
      <c r="I27" s="2100"/>
      <c r="J27" s="2100"/>
      <c r="K27" s="2100"/>
      <c r="L27" s="2100"/>
      <c r="M27" s="2100"/>
      <c r="N27" s="2100"/>
      <c r="O27" s="367"/>
      <c r="P27" s="103"/>
      <c r="Q27" s="88"/>
      <c r="R27" s="88"/>
      <c r="S27" s="88"/>
      <c r="T27" s="88"/>
    </row>
    <row r="28" spans="1:20" s="105" customFormat="1" ht="111" customHeight="1">
      <c r="A28" s="2137"/>
      <c r="B28" s="367"/>
      <c r="C28" s="2100"/>
      <c r="D28" s="2100"/>
      <c r="E28" s="2100"/>
      <c r="F28" s="2100"/>
      <c r="G28" s="2100"/>
      <c r="H28" s="2100"/>
      <c r="I28" s="2100"/>
      <c r="J28" s="2100"/>
      <c r="K28" s="2100"/>
      <c r="L28" s="2100"/>
      <c r="M28" s="2100"/>
      <c r="N28" s="2100"/>
      <c r="O28" s="367"/>
      <c r="P28" s="103"/>
      <c r="Q28" s="88"/>
      <c r="R28" s="88"/>
      <c r="S28" s="88"/>
      <c r="T28" s="88"/>
    </row>
    <row r="29" spans="1:20" s="105" customFormat="1" ht="18.75">
      <c r="A29" s="103"/>
      <c r="B29" s="367"/>
      <c r="C29" s="391"/>
      <c r="D29" s="385"/>
      <c r="E29" s="385"/>
      <c r="F29" s="385"/>
      <c r="G29" s="385"/>
      <c r="H29" s="385"/>
      <c r="I29" s="226"/>
      <c r="J29" s="387"/>
      <c r="K29" s="387"/>
      <c r="L29" s="387"/>
      <c r="M29" s="387"/>
      <c r="N29" s="387"/>
      <c r="O29" s="367"/>
      <c r="P29" s="103"/>
      <c r="Q29" s="88"/>
      <c r="R29" s="88"/>
      <c r="S29" s="88"/>
      <c r="T29" s="88"/>
    </row>
    <row r="30" spans="1:20" s="105" customFormat="1" ht="18.75">
      <c r="A30" s="103"/>
      <c r="B30" s="367"/>
      <c r="C30" s="240"/>
      <c r="D30" s="393" t="s">
        <v>305</v>
      </c>
      <c r="E30" s="419" t="s">
        <v>394</v>
      </c>
      <c r="F30" s="420"/>
      <c r="G30" s="420"/>
      <c r="H30" s="420"/>
      <c r="I30" s="420"/>
      <c r="J30" s="239"/>
      <c r="K30" s="418"/>
      <c r="L30" s="418"/>
      <c r="M30" s="418"/>
      <c r="N30" s="387"/>
      <c r="O30" s="367"/>
      <c r="P30" s="103"/>
      <c r="Q30" s="88"/>
      <c r="R30" s="88"/>
      <c r="S30" s="88"/>
      <c r="T30" s="88"/>
    </row>
    <row r="31" spans="1:20" s="105" customFormat="1" ht="18.75">
      <c r="A31" s="103"/>
      <c r="B31" s="367"/>
      <c r="C31" s="240"/>
      <c r="D31" s="394" t="s">
        <v>391</v>
      </c>
      <c r="E31" s="421" t="s">
        <v>399</v>
      </c>
      <c r="F31" s="421"/>
      <c r="G31" s="421"/>
      <c r="H31" s="421"/>
      <c r="I31" s="421"/>
      <c r="J31" s="235"/>
      <c r="K31" s="387"/>
      <c r="L31" s="387"/>
      <c r="M31" s="387"/>
      <c r="N31" s="387"/>
      <c r="O31" s="367"/>
      <c r="P31" s="103"/>
      <c r="Q31" s="88"/>
      <c r="R31" s="88"/>
      <c r="S31" s="88"/>
      <c r="T31" s="88"/>
    </row>
    <row r="32" spans="1:20" s="105" customFormat="1" ht="18.75">
      <c r="A32" s="103"/>
      <c r="B32" s="367"/>
      <c r="C32" s="382"/>
      <c r="D32" s="394" t="s">
        <v>392</v>
      </c>
      <c r="E32" s="421" t="s">
        <v>400</v>
      </c>
      <c r="F32" s="421"/>
      <c r="G32" s="421"/>
      <c r="H32" s="421"/>
      <c r="I32" s="421"/>
      <c r="J32" s="235"/>
      <c r="K32" s="387"/>
      <c r="L32" s="387"/>
      <c r="M32" s="387"/>
      <c r="N32" s="387"/>
      <c r="O32" s="367"/>
      <c r="P32" s="103"/>
      <c r="Q32" s="88"/>
      <c r="R32" s="88"/>
      <c r="S32" s="88"/>
      <c r="T32" s="88"/>
    </row>
    <row r="33" spans="1:20" s="105" customFormat="1" ht="18.75">
      <c r="A33" s="103"/>
      <c r="B33" s="367"/>
      <c r="C33" s="382"/>
      <c r="D33" s="394" t="s">
        <v>393</v>
      </c>
      <c r="E33" s="2129" t="s">
        <v>396</v>
      </c>
      <c r="F33" s="2129"/>
      <c r="G33" s="2129"/>
      <c r="H33" s="2129"/>
      <c r="I33" s="2129"/>
      <c r="J33" s="2129"/>
      <c r="K33" s="387"/>
      <c r="L33" s="387"/>
      <c r="M33" s="387"/>
      <c r="N33" s="387"/>
      <c r="O33" s="367"/>
      <c r="P33" s="103"/>
      <c r="Q33" s="88"/>
      <c r="R33" s="88"/>
      <c r="S33" s="88"/>
      <c r="T33" s="88"/>
    </row>
    <row r="34" spans="1:20" s="105" customFormat="1" ht="18.75">
      <c r="A34" s="103"/>
      <c r="B34" s="367"/>
      <c r="C34" s="382"/>
      <c r="D34" s="394" t="s">
        <v>395</v>
      </c>
      <c r="E34" s="421" t="s">
        <v>430</v>
      </c>
      <c r="F34" s="421"/>
      <c r="G34" s="421"/>
      <c r="H34" s="421"/>
      <c r="I34" s="421"/>
      <c r="J34" s="235"/>
      <c r="K34" s="387"/>
      <c r="L34" s="387"/>
      <c r="M34" s="387"/>
      <c r="N34" s="387"/>
      <c r="O34" s="367"/>
      <c r="P34" s="103"/>
      <c r="Q34" s="88"/>
      <c r="R34" s="88"/>
      <c r="S34" s="88"/>
      <c r="T34" s="88"/>
    </row>
    <row r="35" spans="1:20" s="105" customFormat="1" ht="18.75">
      <c r="A35" s="103"/>
      <c r="B35" s="367"/>
      <c r="C35" s="391"/>
      <c r="D35" s="385"/>
      <c r="E35" s="385"/>
      <c r="F35" s="385"/>
      <c r="G35" s="385"/>
      <c r="H35" s="385"/>
      <c r="I35" s="226"/>
      <c r="J35" s="387"/>
      <c r="K35" s="387"/>
      <c r="L35" s="387"/>
      <c r="M35" s="387"/>
      <c r="N35" s="387"/>
      <c r="O35" s="367"/>
      <c r="P35" s="103"/>
      <c r="Q35" s="88"/>
      <c r="R35" s="88"/>
      <c r="S35" s="88"/>
      <c r="T35" s="88"/>
    </row>
    <row r="36" spans="1:20" s="105" customFormat="1" ht="18.75" customHeight="1">
      <c r="A36" s="103"/>
      <c r="B36" s="367"/>
      <c r="C36" s="2100" t="s">
        <v>526</v>
      </c>
      <c r="D36" s="2100"/>
      <c r="E36" s="2100"/>
      <c r="F36" s="2100"/>
      <c r="G36" s="2100"/>
      <c r="H36" s="2100"/>
      <c r="I36" s="2100"/>
      <c r="J36" s="2100"/>
      <c r="K36" s="2100"/>
      <c r="L36" s="2100"/>
      <c r="M36" s="2100"/>
      <c r="N36" s="2100"/>
      <c r="O36" s="367"/>
      <c r="P36" s="103"/>
      <c r="Q36" s="88"/>
      <c r="R36" s="88"/>
      <c r="S36" s="88"/>
      <c r="T36" s="88"/>
    </row>
    <row r="37" spans="1:20" s="105" customFormat="1" ht="18.75" customHeight="1">
      <c r="A37" s="103"/>
      <c r="B37" s="367"/>
      <c r="C37" s="2100" t="s">
        <v>525</v>
      </c>
      <c r="D37" s="2100"/>
      <c r="E37" s="2100"/>
      <c r="F37" s="2100"/>
      <c r="G37" s="2100"/>
      <c r="H37" s="2100"/>
      <c r="I37" s="2100"/>
      <c r="J37" s="2100"/>
      <c r="K37" s="2100"/>
      <c r="L37" s="2100"/>
      <c r="M37" s="2100"/>
      <c r="N37" s="2100"/>
      <c r="O37" s="367"/>
      <c r="P37" s="103"/>
      <c r="Q37" s="88"/>
      <c r="R37" s="88"/>
      <c r="S37" s="88"/>
      <c r="T37" s="88"/>
    </row>
    <row r="38" spans="1:20" s="105" customFormat="1" ht="18.75">
      <c r="A38" s="103"/>
      <c r="B38" s="367"/>
      <c r="C38" s="2100"/>
      <c r="D38" s="2100"/>
      <c r="E38" s="2100"/>
      <c r="F38" s="2100"/>
      <c r="G38" s="2100"/>
      <c r="H38" s="2100"/>
      <c r="I38" s="2100"/>
      <c r="J38" s="2100"/>
      <c r="K38" s="2100"/>
      <c r="L38" s="2100"/>
      <c r="M38" s="2100"/>
      <c r="N38" s="2100"/>
      <c r="O38" s="367"/>
      <c r="P38" s="103"/>
      <c r="Q38" s="88"/>
      <c r="R38" s="88"/>
      <c r="S38" s="88"/>
      <c r="T38" s="88"/>
    </row>
    <row r="39" spans="1:20" s="105" customFormat="1" ht="18.75">
      <c r="A39" s="103"/>
      <c r="B39" s="367"/>
      <c r="C39" s="392"/>
      <c r="D39" s="385"/>
      <c r="E39" s="386"/>
      <c r="F39" s="386"/>
      <c r="G39" s="386"/>
      <c r="H39" s="386"/>
      <c r="I39" s="226"/>
      <c r="J39" s="387"/>
      <c r="K39" s="387"/>
      <c r="L39" s="387"/>
      <c r="M39" s="387"/>
      <c r="N39" s="387"/>
      <c r="O39" s="367"/>
      <c r="P39" s="103"/>
      <c r="Q39" s="88"/>
      <c r="R39" s="88"/>
      <c r="S39" s="88"/>
      <c r="T39" s="88"/>
    </row>
    <row r="40" spans="1:20" s="105" customFormat="1" ht="18.75">
      <c r="A40" s="103"/>
      <c r="B40" s="367"/>
      <c r="D40" s="382"/>
      <c r="E40" s="382"/>
      <c r="F40" s="2125" t="s">
        <v>615</v>
      </c>
      <c r="G40" s="2126"/>
      <c r="L40" s="387"/>
      <c r="M40" s="387"/>
      <c r="N40" s="387"/>
      <c r="O40" s="367"/>
      <c r="P40" s="103"/>
      <c r="Q40" s="88"/>
      <c r="R40" s="88"/>
      <c r="S40" s="88"/>
      <c r="T40" s="88"/>
    </row>
    <row r="41" spans="1:20" s="105" customFormat="1" ht="18.75">
      <c r="A41" s="103"/>
      <c r="B41" s="367"/>
      <c r="D41" s="458" t="s">
        <v>588</v>
      </c>
      <c r="E41" s="457" t="s">
        <v>510</v>
      </c>
      <c r="F41" s="455" t="s">
        <v>608</v>
      </c>
      <c r="G41" s="456" t="s">
        <v>607</v>
      </c>
      <c r="L41" s="387"/>
      <c r="M41" s="387"/>
      <c r="N41" s="387"/>
      <c r="O41" s="367"/>
      <c r="P41" s="103"/>
      <c r="Q41" s="88"/>
      <c r="R41" s="88"/>
      <c r="S41" s="88"/>
      <c r="T41" s="88"/>
    </row>
    <row r="42" spans="1:20" s="105" customFormat="1" ht="18.75">
      <c r="A42" s="103"/>
      <c r="B42" s="367"/>
      <c r="D42" s="395" t="s">
        <v>591</v>
      </c>
      <c r="E42" s="396"/>
      <c r="F42" s="397"/>
      <c r="G42" s="398" t="s">
        <v>605</v>
      </c>
      <c r="L42" s="387"/>
      <c r="M42" s="387"/>
      <c r="N42" s="387"/>
      <c r="O42" s="367"/>
      <c r="P42" s="103"/>
      <c r="Q42" s="88"/>
      <c r="R42" s="88"/>
      <c r="S42" s="88"/>
      <c r="T42" s="88"/>
    </row>
    <row r="43" spans="1:20" s="105" customFormat="1" ht="18.75">
      <c r="A43" s="103"/>
      <c r="B43" s="367"/>
      <c r="D43" s="399" t="s">
        <v>590</v>
      </c>
      <c r="E43" s="27"/>
      <c r="F43" s="400"/>
      <c r="G43" s="400" t="s">
        <v>606</v>
      </c>
      <c r="L43" s="387"/>
      <c r="M43" s="387"/>
      <c r="N43" s="387"/>
      <c r="O43" s="367"/>
      <c r="P43" s="103"/>
      <c r="Q43" s="88"/>
      <c r="R43" s="88"/>
      <c r="S43" s="88"/>
      <c r="T43" s="88"/>
    </row>
    <row r="44" spans="1:20" s="105" customFormat="1" ht="18.75">
      <c r="A44" s="103"/>
      <c r="B44" s="367"/>
      <c r="D44" s="399" t="s">
        <v>564</v>
      </c>
      <c r="E44" s="401"/>
      <c r="F44" s="400" t="s">
        <v>598</v>
      </c>
      <c r="G44" s="400" t="s">
        <v>604</v>
      </c>
      <c r="L44" s="387"/>
      <c r="M44" s="387"/>
      <c r="N44" s="387"/>
      <c r="O44" s="367"/>
      <c r="P44" s="103"/>
      <c r="Q44" s="88"/>
      <c r="R44" s="88"/>
      <c r="S44" s="88"/>
      <c r="T44" s="88"/>
    </row>
    <row r="45" spans="1:20" s="105" customFormat="1" ht="18.75">
      <c r="A45" s="103"/>
      <c r="B45" s="367"/>
      <c r="C45" s="394"/>
      <c r="D45" s="399" t="s">
        <v>589</v>
      </c>
      <c r="E45" s="27"/>
      <c r="F45" s="402"/>
      <c r="G45" s="400" t="s">
        <v>597</v>
      </c>
      <c r="H45" s="391"/>
      <c r="I45" s="226"/>
      <c r="L45" s="387"/>
      <c r="M45" s="387"/>
      <c r="N45" s="387"/>
      <c r="O45" s="367"/>
      <c r="P45" s="103"/>
      <c r="Q45" s="88"/>
      <c r="R45" s="88"/>
      <c r="S45" s="88"/>
      <c r="T45" s="88"/>
    </row>
    <row r="46" spans="1:20" s="105" customFormat="1" ht="18.75">
      <c r="A46" s="103"/>
      <c r="B46" s="367"/>
      <c r="D46" s="399" t="s">
        <v>594</v>
      </c>
      <c r="E46" s="403" t="s">
        <v>599</v>
      </c>
      <c r="F46" s="402"/>
      <c r="G46" s="404" t="s">
        <v>600</v>
      </c>
      <c r="L46" s="387"/>
      <c r="M46" s="387"/>
      <c r="N46" s="387"/>
      <c r="O46" s="367"/>
      <c r="P46" s="103"/>
      <c r="Q46" s="88"/>
      <c r="R46" s="88"/>
      <c r="S46" s="88"/>
      <c r="T46" s="88"/>
    </row>
    <row r="47" spans="1:20" s="105" customFormat="1" ht="18.75">
      <c r="A47" s="103"/>
      <c r="B47" s="367"/>
      <c r="C47" s="394"/>
      <c r="D47" s="399"/>
      <c r="E47" s="403" t="s">
        <v>601</v>
      </c>
      <c r="F47" s="402"/>
      <c r="G47" s="405">
        <v>0.7</v>
      </c>
      <c r="H47" s="391"/>
      <c r="I47" s="226"/>
      <c r="L47" s="387"/>
      <c r="M47" s="387"/>
      <c r="N47" s="387"/>
      <c r="O47" s="367"/>
      <c r="P47" s="103"/>
      <c r="Q47" s="88"/>
      <c r="R47" s="88"/>
      <c r="S47" s="88"/>
      <c r="T47" s="88"/>
    </row>
    <row r="48" spans="1:20" s="105" customFormat="1" ht="18.75">
      <c r="A48" s="103"/>
      <c r="B48" s="367"/>
      <c r="D48" s="399"/>
      <c r="E48" s="403" t="s">
        <v>603</v>
      </c>
      <c r="F48" s="402"/>
      <c r="G48" s="404" t="s">
        <v>602</v>
      </c>
      <c r="L48" s="387"/>
      <c r="M48" s="387"/>
      <c r="N48" s="387"/>
      <c r="O48" s="367"/>
      <c r="P48" s="103"/>
      <c r="Q48" s="88"/>
      <c r="R48" s="88"/>
      <c r="S48" s="88"/>
      <c r="T48" s="88"/>
    </row>
    <row r="49" spans="1:20" s="105" customFormat="1" ht="18.75">
      <c r="A49" s="103"/>
      <c r="B49" s="367"/>
      <c r="C49" s="382"/>
      <c r="D49" s="406" t="s">
        <v>592</v>
      </c>
      <c r="E49" s="407"/>
      <c r="F49" s="408"/>
      <c r="G49" s="409" t="s">
        <v>604</v>
      </c>
      <c r="H49" s="382"/>
      <c r="I49" s="382"/>
      <c r="L49" s="387"/>
      <c r="M49" s="387"/>
      <c r="N49" s="387"/>
      <c r="O49" s="367"/>
      <c r="P49" s="103"/>
      <c r="Q49" s="88"/>
      <c r="R49" s="88"/>
      <c r="S49" s="88"/>
      <c r="T49" s="88"/>
    </row>
    <row r="50" spans="1:20" s="105" customFormat="1" ht="18.75">
      <c r="A50" s="103"/>
      <c r="B50" s="367"/>
      <c r="C50" s="382"/>
      <c r="D50" s="382"/>
      <c r="E50" s="382"/>
      <c r="H50" s="382"/>
      <c r="I50" s="382"/>
      <c r="J50" s="387"/>
      <c r="K50" s="387"/>
      <c r="L50" s="387"/>
      <c r="M50" s="387"/>
      <c r="N50" s="387"/>
      <c r="O50" s="367"/>
      <c r="P50" s="103"/>
      <c r="Q50" s="88"/>
      <c r="R50" s="88"/>
      <c r="S50" s="88"/>
      <c r="T50" s="88"/>
    </row>
    <row r="51" spans="1:20" s="105" customFormat="1" ht="18.75">
      <c r="A51" s="103"/>
      <c r="B51" s="367"/>
      <c r="G51" s="382"/>
      <c r="H51" s="382"/>
      <c r="I51" s="382"/>
      <c r="J51" s="387"/>
      <c r="K51" s="387"/>
      <c r="L51" s="387"/>
      <c r="M51" s="387"/>
      <c r="N51" s="387"/>
      <c r="O51" s="367"/>
      <c r="P51" s="103"/>
      <c r="Q51" s="88"/>
      <c r="R51" s="88"/>
      <c r="S51" s="88"/>
      <c r="T51" s="88"/>
    </row>
    <row r="52" spans="1:20" s="105" customFormat="1" ht="18.75">
      <c r="A52" s="103"/>
      <c r="B52" s="367"/>
      <c r="G52" s="5"/>
      <c r="H52" s="382"/>
      <c r="I52" s="382"/>
      <c r="J52" s="387"/>
      <c r="K52" s="387"/>
      <c r="L52" s="387"/>
      <c r="M52" s="387"/>
      <c r="N52" s="387"/>
      <c r="O52" s="367"/>
      <c r="P52" s="103"/>
      <c r="Q52" s="88"/>
      <c r="R52" s="88"/>
      <c r="S52" s="88"/>
      <c r="T52" s="88"/>
    </row>
    <row r="53" spans="1:20" s="105" customFormat="1" ht="27" thickBot="1">
      <c r="A53" s="2137"/>
      <c r="B53" s="367"/>
      <c r="C53" s="429" t="s">
        <v>613</v>
      </c>
      <c r="D53" s="431"/>
      <c r="E53" s="431"/>
      <c r="F53" s="431"/>
      <c r="G53" s="432"/>
      <c r="H53" s="433"/>
      <c r="I53" s="433"/>
      <c r="J53" s="430"/>
      <c r="K53" s="430"/>
      <c r="L53" s="430"/>
      <c r="M53" s="430"/>
      <c r="N53" s="430"/>
      <c r="O53" s="367"/>
      <c r="P53" s="103"/>
      <c r="Q53" s="88"/>
      <c r="R53" s="88"/>
      <c r="S53" s="88"/>
      <c r="T53" s="88"/>
    </row>
    <row r="54" spans="1:20" s="105" customFormat="1" ht="15.75">
      <c r="A54" s="2137"/>
      <c r="B54" s="367"/>
      <c r="G54" s="425"/>
      <c r="H54" s="382"/>
      <c r="I54" s="382"/>
      <c r="J54" s="387"/>
      <c r="K54" s="387"/>
      <c r="L54" s="387"/>
      <c r="M54" s="387"/>
      <c r="N54" s="387"/>
      <c r="O54" s="367"/>
      <c r="P54" s="103"/>
    </row>
    <row r="55" spans="1:20" s="105" customFormat="1" ht="51" customHeight="1">
      <c r="A55" s="2137"/>
      <c r="B55" s="367"/>
      <c r="C55" s="2138" t="s">
        <v>614</v>
      </c>
      <c r="D55" s="2138"/>
      <c r="E55" s="2138"/>
      <c r="F55" s="2138"/>
      <c r="G55" s="2138"/>
      <c r="H55" s="2138"/>
      <c r="I55" s="2138"/>
      <c r="J55" s="2138"/>
      <c r="K55" s="2138"/>
      <c r="L55" s="2138"/>
      <c r="M55" s="2138"/>
      <c r="N55" s="2138"/>
      <c r="O55" s="367"/>
      <c r="P55" s="103"/>
    </row>
    <row r="56" spans="1:20" s="105" customFormat="1" ht="15.75">
      <c r="A56" s="2137"/>
      <c r="B56" s="367"/>
      <c r="G56" s="426"/>
      <c r="H56" s="382"/>
      <c r="I56" s="382"/>
      <c r="J56" s="387"/>
      <c r="K56" s="387"/>
      <c r="L56" s="387"/>
      <c r="M56" s="387"/>
      <c r="N56" s="387"/>
      <c r="O56" s="367"/>
      <c r="P56" s="103"/>
    </row>
    <row r="57" spans="1:20" s="105" customFormat="1" ht="15.75">
      <c r="A57" s="2137"/>
      <c r="B57" s="367"/>
      <c r="C57" s="2139" t="s">
        <v>658</v>
      </c>
      <c r="D57" s="2139"/>
      <c r="E57" s="2139"/>
      <c r="F57" s="2139"/>
      <c r="G57" s="2139"/>
      <c r="H57" s="2139"/>
      <c r="I57" s="2139"/>
      <c r="J57" s="2139"/>
      <c r="K57" s="2139"/>
      <c r="L57" s="2139"/>
      <c r="M57" s="2139"/>
      <c r="N57" s="2139"/>
      <c r="O57" s="367"/>
      <c r="P57" s="103"/>
    </row>
    <row r="58" spans="1:20" s="105" customFormat="1" ht="15.75">
      <c r="A58" s="2137"/>
      <c r="B58" s="367"/>
      <c r="C58" s="2139"/>
      <c r="D58" s="2139"/>
      <c r="E58" s="2139"/>
      <c r="F58" s="2139"/>
      <c r="G58" s="2139"/>
      <c r="H58" s="2139"/>
      <c r="I58" s="2139"/>
      <c r="J58" s="2139"/>
      <c r="K58" s="2139"/>
      <c r="L58" s="2139"/>
      <c r="M58" s="2139"/>
      <c r="N58" s="2139"/>
      <c r="O58" s="367"/>
      <c r="P58" s="103"/>
    </row>
    <row r="59" spans="1:20" s="105" customFormat="1" ht="15.75">
      <c r="A59" s="2137"/>
      <c r="B59" s="367"/>
      <c r="C59" s="2139"/>
      <c r="D59" s="2139"/>
      <c r="E59" s="2139"/>
      <c r="F59" s="2139"/>
      <c r="G59" s="2139"/>
      <c r="H59" s="2139"/>
      <c r="I59" s="2139"/>
      <c r="J59" s="2139"/>
      <c r="K59" s="2139"/>
      <c r="L59" s="2139"/>
      <c r="M59" s="2139"/>
      <c r="N59" s="2139"/>
      <c r="O59" s="367"/>
      <c r="P59" s="103"/>
    </row>
    <row r="60" spans="1:20" s="105" customFormat="1" ht="97.5" customHeight="1">
      <c r="A60" s="2137"/>
      <c r="B60" s="367"/>
      <c r="C60" s="2139"/>
      <c r="D60" s="2139"/>
      <c r="E60" s="2139"/>
      <c r="F60" s="2139"/>
      <c r="G60" s="2139"/>
      <c r="H60" s="2139"/>
      <c r="I60" s="2139"/>
      <c r="J60" s="2139"/>
      <c r="K60" s="2139"/>
      <c r="L60" s="2139"/>
      <c r="M60" s="2139"/>
      <c r="N60" s="2139"/>
      <c r="O60" s="367"/>
      <c r="P60" s="103"/>
    </row>
    <row r="61" spans="1:20" s="105" customFormat="1" ht="15.75">
      <c r="A61" s="2137"/>
      <c r="B61" s="367"/>
      <c r="C61" s="387"/>
      <c r="D61" s="387"/>
      <c r="E61" s="387"/>
      <c r="F61" s="387"/>
      <c r="G61" s="387"/>
      <c r="H61" s="387"/>
      <c r="I61" s="387"/>
      <c r="J61" s="387"/>
      <c r="K61" s="387"/>
      <c r="L61" s="387"/>
      <c r="M61" s="387"/>
      <c r="N61" s="387"/>
      <c r="O61" s="367"/>
      <c r="P61" s="103"/>
    </row>
    <row r="62" spans="1:20" s="105" customFormat="1" ht="15.75">
      <c r="A62" s="2137"/>
      <c r="B62" s="367"/>
      <c r="C62" s="381" t="s">
        <v>586</v>
      </c>
      <c r="D62" s="387"/>
      <c r="E62" s="387"/>
      <c r="F62" s="387"/>
      <c r="G62" s="453" t="s">
        <v>588</v>
      </c>
      <c r="H62" s="60"/>
      <c r="I62" s="454" t="s">
        <v>488</v>
      </c>
      <c r="L62" s="387"/>
      <c r="M62" s="387"/>
      <c r="N62" s="387"/>
      <c r="O62" s="367"/>
      <c r="P62" s="103"/>
    </row>
    <row r="63" spans="1:20" s="105" customFormat="1" ht="15.75">
      <c r="A63" s="2137"/>
      <c r="B63" s="367"/>
      <c r="C63" s="387"/>
      <c r="D63" s="387"/>
      <c r="E63" s="387"/>
      <c r="F63" s="387"/>
      <c r="G63" s="427" t="s">
        <v>591</v>
      </c>
      <c r="H63" s="74"/>
      <c r="I63" s="412" t="s">
        <v>565</v>
      </c>
      <c r="L63" s="387"/>
      <c r="M63" s="387"/>
      <c r="N63" s="387"/>
      <c r="O63" s="367"/>
      <c r="P63" s="103"/>
    </row>
    <row r="64" spans="1:20" s="105" customFormat="1" ht="15.75">
      <c r="A64" s="2137"/>
      <c r="B64" s="367"/>
      <c r="C64" s="387"/>
      <c r="G64" s="428" t="s">
        <v>590</v>
      </c>
      <c r="H64"/>
      <c r="I64" s="413" t="s">
        <v>565</v>
      </c>
      <c r="N64" s="387"/>
      <c r="O64" s="367"/>
      <c r="P64" s="103"/>
    </row>
    <row r="65" spans="1:20" s="105" customFormat="1" ht="15.75">
      <c r="A65" s="2137"/>
      <c r="B65" s="367"/>
      <c r="C65" s="387"/>
      <c r="G65" s="428" t="s">
        <v>564</v>
      </c>
      <c r="H65" s="193"/>
      <c r="I65" s="413" t="s">
        <v>476</v>
      </c>
      <c r="N65" s="387"/>
      <c r="O65" s="367"/>
      <c r="P65" s="103"/>
    </row>
    <row r="66" spans="1:20" s="105" customFormat="1" ht="15.75">
      <c r="A66" s="2137"/>
      <c r="B66" s="367"/>
      <c r="C66" s="387"/>
      <c r="G66" s="428" t="s">
        <v>589</v>
      </c>
      <c r="H66"/>
      <c r="I66" s="413" t="s">
        <v>565</v>
      </c>
      <c r="N66" s="387"/>
      <c r="O66" s="367"/>
      <c r="P66" s="103"/>
    </row>
    <row r="67" spans="1:20" s="105" customFormat="1" ht="15.75">
      <c r="A67" s="2137"/>
      <c r="B67" s="367"/>
      <c r="C67" s="387"/>
      <c r="G67" s="428" t="s">
        <v>594</v>
      </c>
      <c r="H67" s="410"/>
      <c r="I67" s="389" t="s">
        <v>595</v>
      </c>
      <c r="N67" s="387"/>
      <c r="O67" s="367"/>
      <c r="P67" s="103"/>
    </row>
    <row r="68" spans="1:20" s="105" customFormat="1" ht="15.75">
      <c r="A68" s="2137"/>
      <c r="B68" s="367"/>
      <c r="C68" s="387"/>
      <c r="G68" s="417" t="s">
        <v>592</v>
      </c>
      <c r="H68" s="82"/>
      <c r="I68" s="414" t="s">
        <v>565</v>
      </c>
      <c r="N68" s="387"/>
      <c r="O68" s="367"/>
      <c r="P68" s="103"/>
    </row>
    <row r="69" spans="1:20" s="105" customFormat="1" ht="15.75">
      <c r="A69" s="2137"/>
      <c r="B69" s="367"/>
      <c r="C69" s="387"/>
      <c r="G69" s="387"/>
      <c r="H69" s="387"/>
      <c r="N69" s="387"/>
      <c r="O69" s="367"/>
      <c r="P69" s="103"/>
    </row>
    <row r="70" spans="1:20" s="105" customFormat="1" ht="18.75">
      <c r="A70" s="2137"/>
      <c r="B70" s="367"/>
      <c r="C70" s="387"/>
      <c r="D70" s="387"/>
      <c r="E70" s="387"/>
      <c r="F70" s="387"/>
      <c r="G70" s="387"/>
      <c r="H70" s="387"/>
      <c r="N70" s="387"/>
      <c r="O70" s="367"/>
      <c r="P70" s="103"/>
      <c r="Q70" s="88"/>
      <c r="R70" s="88"/>
      <c r="S70" s="88"/>
      <c r="T70" s="88"/>
    </row>
    <row r="71" spans="1:20" s="105" customFormat="1" ht="33.75" customHeight="1">
      <c r="A71" s="103"/>
      <c r="B71" s="367"/>
      <c r="C71" s="2123" t="s">
        <v>641</v>
      </c>
      <c r="D71" s="2123"/>
      <c r="E71" s="2123"/>
      <c r="F71" s="2123"/>
      <c r="G71" s="2123"/>
      <c r="H71" s="2123"/>
      <c r="I71" s="2123"/>
      <c r="J71" s="2123"/>
      <c r="K71" s="2123"/>
      <c r="L71" s="2123"/>
      <c r="M71" s="2123"/>
      <c r="N71" s="2123"/>
      <c r="O71" s="367"/>
      <c r="P71" s="103"/>
      <c r="Q71" s="88"/>
      <c r="R71" s="88"/>
      <c r="S71" s="88"/>
      <c r="T71" s="88"/>
    </row>
    <row r="72" spans="1:20" s="105" customFormat="1" ht="18.75">
      <c r="A72" s="103"/>
      <c r="B72" s="367"/>
      <c r="C72" s="387"/>
      <c r="D72" s="387"/>
      <c r="E72" s="387"/>
      <c r="F72" s="387"/>
      <c r="G72" s="387"/>
      <c r="H72" s="387"/>
      <c r="N72" s="387"/>
      <c r="O72" s="367"/>
      <c r="P72" s="103"/>
      <c r="Q72" s="88"/>
      <c r="R72" s="88"/>
      <c r="S72" s="88"/>
      <c r="T72" s="88"/>
    </row>
    <row r="73" spans="1:20" s="105" customFormat="1" ht="18.75">
      <c r="A73" s="103"/>
      <c r="B73" s="367"/>
      <c r="C73" s="387"/>
      <c r="D73" s="387"/>
      <c r="E73" s="387"/>
      <c r="F73" s="387"/>
      <c r="G73" s="387"/>
      <c r="H73" s="387"/>
      <c r="I73" s="387"/>
      <c r="J73" s="387"/>
      <c r="K73" s="387"/>
      <c r="L73" s="387"/>
      <c r="M73" s="387"/>
      <c r="N73" s="387"/>
      <c r="O73" s="367"/>
      <c r="P73" s="103"/>
      <c r="Q73" s="88"/>
      <c r="R73" s="88"/>
      <c r="S73" s="88"/>
      <c r="T73" s="88"/>
    </row>
    <row r="74" spans="1:20" s="105" customFormat="1" ht="27" thickBot="1">
      <c r="A74" s="2137"/>
      <c r="B74" s="367"/>
      <c r="C74" s="429" t="s">
        <v>616</v>
      </c>
      <c r="D74" s="430"/>
      <c r="E74" s="430"/>
      <c r="F74" s="430"/>
      <c r="G74" s="430"/>
      <c r="H74" s="430"/>
      <c r="I74" s="430"/>
      <c r="J74" s="430"/>
      <c r="K74" s="430"/>
      <c r="L74" s="430"/>
      <c r="M74" s="430"/>
      <c r="N74" s="430"/>
      <c r="O74" s="367"/>
      <c r="P74" s="103"/>
      <c r="Q74" s="88"/>
      <c r="R74" s="88"/>
      <c r="S74" s="88"/>
      <c r="T74" s="88"/>
    </row>
    <row r="75" spans="1:20" s="105" customFormat="1" ht="18.75">
      <c r="A75" s="2137"/>
      <c r="B75" s="367"/>
      <c r="C75" s="387"/>
      <c r="D75" s="387"/>
      <c r="E75" s="387"/>
      <c r="F75" s="387"/>
      <c r="G75" s="387"/>
      <c r="H75" s="387"/>
      <c r="I75" s="387"/>
      <c r="J75" s="387"/>
      <c r="K75" s="387"/>
      <c r="L75" s="387"/>
      <c r="M75" s="387"/>
      <c r="N75" s="387"/>
      <c r="O75" s="367"/>
      <c r="P75" s="103"/>
      <c r="Q75" s="88"/>
      <c r="R75" s="88"/>
      <c r="S75" s="88"/>
      <c r="T75" s="88"/>
    </row>
    <row r="76" spans="1:20" s="105" customFormat="1" ht="288.75" customHeight="1">
      <c r="A76" s="2137"/>
      <c r="B76" s="367"/>
      <c r="C76" s="2139" t="s">
        <v>655</v>
      </c>
      <c r="D76" s="2139"/>
      <c r="E76" s="2139"/>
      <c r="F76" s="2139"/>
      <c r="G76" s="2139"/>
      <c r="H76" s="2139"/>
      <c r="I76" s="2139"/>
      <c r="J76" s="2139"/>
      <c r="K76" s="2139"/>
      <c r="L76" s="2139"/>
      <c r="M76" s="2139"/>
      <c r="N76" s="2139"/>
      <c r="O76" s="367"/>
      <c r="P76" s="103"/>
      <c r="Q76" s="88"/>
      <c r="R76" s="88"/>
      <c r="S76" s="88"/>
      <c r="T76" s="88"/>
    </row>
    <row r="77" spans="1:20" s="105" customFormat="1" ht="18.75">
      <c r="A77" s="2137"/>
      <c r="B77" s="367"/>
      <c r="C77" s="387"/>
      <c r="D77" s="387"/>
      <c r="E77" s="387"/>
      <c r="F77" s="387"/>
      <c r="G77" s="387"/>
      <c r="H77" s="387"/>
      <c r="I77" s="387"/>
      <c r="J77" s="387"/>
      <c r="K77" s="387"/>
      <c r="L77" s="387"/>
      <c r="M77" s="387"/>
      <c r="N77" s="387"/>
      <c r="O77" s="367"/>
      <c r="P77" s="103"/>
      <c r="Q77" s="88"/>
      <c r="R77" s="88"/>
      <c r="S77" s="88"/>
      <c r="T77" s="88"/>
    </row>
    <row r="78" spans="1:20" s="105" customFormat="1" ht="26.25" customHeight="1">
      <c r="A78" s="2137"/>
      <c r="B78" s="367"/>
      <c r="C78" s="2140" t="s">
        <v>617</v>
      </c>
      <c r="D78" s="2140"/>
      <c r="E78" s="2140"/>
      <c r="F78" s="2140"/>
      <c r="G78" s="2140"/>
      <c r="H78" s="2140"/>
      <c r="I78" s="2140"/>
      <c r="J78" s="2140"/>
      <c r="K78" s="2140"/>
      <c r="L78" s="2140"/>
      <c r="M78" s="2140"/>
      <c r="N78" s="2140"/>
      <c r="O78" s="367"/>
      <c r="P78" s="103"/>
      <c r="Q78" s="88"/>
      <c r="R78" s="88"/>
      <c r="S78" s="88"/>
      <c r="T78" s="88"/>
    </row>
    <row r="79" spans="1:20" s="105" customFormat="1" ht="39.75" customHeight="1">
      <c r="A79" s="2137"/>
      <c r="B79" s="367"/>
      <c r="C79" s="2122" t="s">
        <v>625</v>
      </c>
      <c r="D79" s="2122"/>
      <c r="E79" s="2120" t="s">
        <v>618</v>
      </c>
      <c r="F79" s="2120"/>
      <c r="G79" s="2120"/>
      <c r="H79" s="2120"/>
      <c r="I79" s="2120"/>
      <c r="J79" s="2120"/>
      <c r="K79" s="2120"/>
      <c r="L79" s="2120"/>
      <c r="M79" s="2120"/>
      <c r="N79" s="2120"/>
      <c r="O79" s="367"/>
      <c r="P79" s="103"/>
      <c r="Q79" s="88"/>
      <c r="R79" s="88"/>
      <c r="S79" s="88"/>
      <c r="T79" s="88"/>
    </row>
    <row r="80" spans="1:20" s="105" customFormat="1" ht="39.75" customHeight="1">
      <c r="A80" s="2137"/>
      <c r="B80" s="367"/>
      <c r="C80" s="2122" t="s">
        <v>626</v>
      </c>
      <c r="D80" s="2122"/>
      <c r="E80" s="2120" t="s">
        <v>619</v>
      </c>
      <c r="F80" s="2120"/>
      <c r="G80" s="2120"/>
      <c r="H80" s="2120"/>
      <c r="I80" s="2120"/>
      <c r="J80" s="2120"/>
      <c r="K80" s="2120"/>
      <c r="L80" s="2120"/>
      <c r="M80" s="2120"/>
      <c r="N80" s="2120"/>
      <c r="O80" s="367"/>
      <c r="P80" s="103"/>
      <c r="Q80" s="88"/>
      <c r="R80" s="88"/>
      <c r="S80" s="88"/>
      <c r="T80" s="88"/>
    </row>
    <row r="81" spans="1:20" s="105" customFormat="1" ht="38.25" customHeight="1">
      <c r="A81" s="2137"/>
      <c r="B81" s="367"/>
      <c r="C81" s="2122" t="s">
        <v>628</v>
      </c>
      <c r="D81" s="2122"/>
      <c r="E81" s="2120" t="s">
        <v>620</v>
      </c>
      <c r="F81" s="2120"/>
      <c r="G81" s="2120"/>
      <c r="H81" s="2120"/>
      <c r="I81" s="2120"/>
      <c r="J81" s="2120"/>
      <c r="K81" s="2120"/>
      <c r="L81" s="2120"/>
      <c r="M81" s="2120"/>
      <c r="N81" s="2120"/>
      <c r="O81" s="367"/>
      <c r="P81" s="103"/>
      <c r="Q81" s="88"/>
      <c r="R81" s="88"/>
      <c r="S81" s="88"/>
      <c r="T81" s="88"/>
    </row>
    <row r="82" spans="1:20" s="105" customFormat="1" ht="37.5" customHeight="1">
      <c r="A82" s="2137"/>
      <c r="B82" s="367"/>
      <c r="C82" s="2122" t="s">
        <v>627</v>
      </c>
      <c r="D82" s="2122"/>
      <c r="E82" s="2120" t="s">
        <v>643</v>
      </c>
      <c r="F82" s="2121"/>
      <c r="G82" s="2121"/>
      <c r="H82" s="2121"/>
      <c r="I82" s="2121"/>
      <c r="J82" s="2121"/>
      <c r="K82" s="2121"/>
      <c r="L82" s="2121"/>
      <c r="M82" s="2121"/>
      <c r="O82" s="367"/>
      <c r="P82" s="103"/>
      <c r="Q82" s="88"/>
      <c r="R82" s="88"/>
      <c r="S82" s="88"/>
      <c r="T82" s="88"/>
    </row>
    <row r="83" spans="1:20" s="105" customFormat="1" ht="18.75">
      <c r="A83" s="2137"/>
      <c r="B83" s="367"/>
      <c r="C83" s="225"/>
      <c r="D83" s="225"/>
      <c r="E83" s="225"/>
      <c r="F83" s="225"/>
      <c r="G83" s="225"/>
      <c r="H83" s="225"/>
      <c r="I83" s="225"/>
      <c r="J83" s="225"/>
      <c r="K83" s="225"/>
      <c r="L83" s="225"/>
      <c r="M83" s="225"/>
      <c r="O83" s="367"/>
      <c r="P83" s="103"/>
      <c r="Q83" s="88"/>
      <c r="R83" s="88"/>
      <c r="S83" s="88"/>
      <c r="T83" s="88"/>
    </row>
    <row r="84" spans="1:20" s="105" customFormat="1" ht="18.75">
      <c r="A84" s="2137"/>
      <c r="B84" s="367"/>
      <c r="C84" s="439" t="s">
        <v>587</v>
      </c>
      <c r="E84" s="437"/>
      <c r="H84" s="436"/>
      <c r="I84" s="438"/>
      <c r="J84" s="436"/>
      <c r="K84" s="387"/>
      <c r="L84" s="387"/>
      <c r="M84" s="387"/>
      <c r="O84" s="367"/>
      <c r="P84" s="103"/>
      <c r="Q84" s="88"/>
      <c r="R84" s="88"/>
      <c r="S84" s="88"/>
      <c r="T84" s="88"/>
    </row>
    <row r="85" spans="1:20" s="105" customFormat="1" ht="18.75">
      <c r="A85" s="2137"/>
      <c r="B85" s="367"/>
      <c r="C85" s="440" t="s">
        <v>621</v>
      </c>
      <c r="E85" s="437" t="s">
        <v>943</v>
      </c>
      <c r="H85" s="436"/>
      <c r="I85" s="438"/>
      <c r="J85" s="436"/>
      <c r="K85" s="387"/>
      <c r="L85" s="387"/>
      <c r="M85" s="387"/>
      <c r="O85" s="367"/>
      <c r="P85" s="103"/>
      <c r="Q85" s="88"/>
      <c r="R85" s="88"/>
      <c r="S85" s="88"/>
      <c r="T85" s="88"/>
    </row>
    <row r="86" spans="1:20" s="105" customFormat="1" ht="18.75">
      <c r="A86" s="2137"/>
      <c r="B86" s="367"/>
      <c r="C86" s="440" t="s">
        <v>622</v>
      </c>
      <c r="E86" s="437" t="s">
        <v>623</v>
      </c>
      <c r="H86" s="436"/>
      <c r="I86" s="438"/>
      <c r="J86" s="436"/>
      <c r="K86" s="387"/>
      <c r="L86" s="387"/>
      <c r="M86" s="387"/>
      <c r="O86" s="367"/>
      <c r="P86" s="103"/>
      <c r="Q86" s="88"/>
      <c r="R86" s="88"/>
      <c r="S86" s="88"/>
      <c r="T86" s="88"/>
    </row>
    <row r="87" spans="1:20" s="105" customFormat="1" ht="18.75">
      <c r="A87" s="2137"/>
      <c r="B87" s="367"/>
      <c r="C87" s="440" t="s">
        <v>521</v>
      </c>
      <c r="E87" s="437" t="s">
        <v>624</v>
      </c>
      <c r="H87" s="436"/>
      <c r="I87" s="438"/>
      <c r="J87" s="436"/>
      <c r="K87" s="387"/>
      <c r="L87" s="387"/>
      <c r="M87" s="387"/>
      <c r="O87" s="367"/>
      <c r="P87" s="103"/>
      <c r="Q87" s="88"/>
      <c r="R87" s="88"/>
      <c r="S87" s="88"/>
      <c r="T87" s="88"/>
    </row>
    <row r="88" spans="1:20" s="105" customFormat="1" ht="35.25" customHeight="1">
      <c r="A88" s="2137"/>
      <c r="B88" s="367"/>
      <c r="C88" s="387"/>
      <c r="D88" s="387"/>
      <c r="E88" s="387"/>
      <c r="F88" s="387"/>
      <c r="G88" s="387"/>
      <c r="H88" s="387"/>
      <c r="I88" s="387"/>
      <c r="J88" s="387"/>
      <c r="K88" s="387"/>
      <c r="L88" s="387"/>
      <c r="M88" s="387"/>
      <c r="N88" s="387"/>
      <c r="O88" s="367"/>
      <c r="P88" s="103"/>
      <c r="Q88" s="88"/>
      <c r="R88" s="88"/>
      <c r="S88" s="88"/>
      <c r="T88" s="88"/>
    </row>
    <row r="89" spans="1:20" s="105" customFormat="1" ht="18.75">
      <c r="A89" s="103"/>
      <c r="B89" s="367"/>
      <c r="C89" s="439" t="s">
        <v>638</v>
      </c>
      <c r="D89" s="387"/>
      <c r="E89" s="387"/>
      <c r="F89" s="387"/>
      <c r="G89" s="387"/>
      <c r="H89" s="387"/>
      <c r="I89" s="387"/>
      <c r="J89" s="387"/>
      <c r="K89" s="387"/>
      <c r="L89" s="387"/>
      <c r="M89" s="387"/>
      <c r="N89" s="387"/>
      <c r="O89" s="367"/>
      <c r="P89" s="103"/>
      <c r="Q89" s="88"/>
      <c r="R89" s="88"/>
      <c r="S89" s="88"/>
      <c r="T89" s="88"/>
    </row>
    <row r="90" spans="1:20" s="105" customFormat="1" ht="16.5" customHeight="1">
      <c r="A90" s="103"/>
      <c r="B90" s="367"/>
      <c r="C90" s="2141" t="s">
        <v>637</v>
      </c>
      <c r="D90" s="2141"/>
      <c r="E90" s="2141"/>
      <c r="F90" s="2141"/>
      <c r="G90" s="2141"/>
      <c r="H90" s="2141"/>
      <c r="I90" s="387"/>
      <c r="J90" s="451" t="s">
        <v>488</v>
      </c>
      <c r="K90" s="452" t="s">
        <v>629</v>
      </c>
      <c r="L90" s="387"/>
      <c r="M90" s="387"/>
      <c r="N90" s="387"/>
      <c r="O90" s="367"/>
      <c r="P90" s="103"/>
      <c r="Q90" s="88"/>
      <c r="R90" s="88"/>
      <c r="S90" s="88"/>
      <c r="T90" s="88"/>
    </row>
    <row r="91" spans="1:20" s="105" customFormat="1" ht="18.75">
      <c r="A91" s="103"/>
      <c r="B91" s="367"/>
      <c r="C91" s="2141"/>
      <c r="D91" s="2141"/>
      <c r="E91" s="2141"/>
      <c r="F91" s="2141"/>
      <c r="G91" s="2141"/>
      <c r="H91" s="2141"/>
      <c r="I91" s="225"/>
      <c r="J91" s="447" t="s">
        <v>518</v>
      </c>
      <c r="K91" s="449" t="s">
        <v>630</v>
      </c>
      <c r="L91" s="225"/>
      <c r="M91" s="225"/>
      <c r="N91" s="225"/>
      <c r="O91" s="367"/>
      <c r="P91" s="103"/>
      <c r="Q91" s="88"/>
      <c r="R91" s="88"/>
      <c r="S91" s="88"/>
      <c r="T91" s="88"/>
    </row>
    <row r="92" spans="1:20" s="105" customFormat="1" ht="18.75">
      <c r="A92" s="103"/>
      <c r="B92" s="367"/>
      <c r="C92" s="2141"/>
      <c r="D92" s="2141"/>
      <c r="E92" s="2141"/>
      <c r="F92" s="2141"/>
      <c r="G92" s="2141"/>
      <c r="H92" s="2141"/>
      <c r="I92" s="225"/>
      <c r="J92" s="447" t="s">
        <v>519</v>
      </c>
      <c r="K92" s="449" t="s">
        <v>631</v>
      </c>
      <c r="N92" s="225"/>
      <c r="O92" s="367"/>
      <c r="P92" s="103"/>
      <c r="Q92" s="88"/>
      <c r="R92" s="88"/>
      <c r="S92" s="88"/>
      <c r="T92" s="88"/>
    </row>
    <row r="93" spans="1:20" s="105" customFormat="1" ht="18.75">
      <c r="A93" s="103"/>
      <c r="B93" s="367"/>
      <c r="C93" s="2141"/>
      <c r="D93" s="2141"/>
      <c r="E93" s="2141"/>
      <c r="F93" s="2141"/>
      <c r="G93" s="2141"/>
      <c r="H93" s="2141"/>
      <c r="I93" s="225"/>
      <c r="J93" s="447" t="s">
        <v>562</v>
      </c>
      <c r="K93" s="449" t="s">
        <v>632</v>
      </c>
      <c r="N93" s="225"/>
      <c r="O93" s="367"/>
      <c r="P93" s="103"/>
      <c r="Q93" s="88"/>
      <c r="R93" s="88"/>
      <c r="S93" s="88"/>
      <c r="T93" s="88"/>
    </row>
    <row r="94" spans="1:20" s="105" customFormat="1" ht="18.75">
      <c r="A94" s="103"/>
      <c r="B94" s="367"/>
      <c r="C94" s="2141"/>
      <c r="D94" s="2141"/>
      <c r="E94" s="2141"/>
      <c r="F94" s="2141"/>
      <c r="G94" s="2141"/>
      <c r="H94" s="2141"/>
      <c r="I94" s="225"/>
      <c r="J94" s="447" t="s">
        <v>520</v>
      </c>
      <c r="K94" s="449" t="s">
        <v>633</v>
      </c>
      <c r="N94" s="225"/>
      <c r="O94" s="367"/>
      <c r="P94" s="103"/>
      <c r="Q94" s="88"/>
      <c r="R94" s="88"/>
      <c r="S94" s="88"/>
      <c r="T94" s="88"/>
    </row>
    <row r="95" spans="1:20" s="105" customFormat="1" ht="18.75">
      <c r="A95" s="103"/>
      <c r="B95" s="367"/>
      <c r="C95" s="2141"/>
      <c r="D95" s="2141"/>
      <c r="E95" s="2141"/>
      <c r="F95" s="2141"/>
      <c r="G95" s="2141"/>
      <c r="H95" s="2141"/>
      <c r="I95" s="225"/>
      <c r="J95" s="448" t="s">
        <v>508</v>
      </c>
      <c r="K95" s="450" t="s">
        <v>634</v>
      </c>
      <c r="N95" s="225"/>
      <c r="O95" s="367"/>
      <c r="P95" s="103"/>
      <c r="Q95" s="88"/>
      <c r="R95" s="88"/>
      <c r="S95" s="88"/>
      <c r="T95" s="88"/>
    </row>
    <row r="96" spans="1:20" s="105" customFormat="1" ht="18.75">
      <c r="A96" s="103"/>
      <c r="B96" s="367"/>
      <c r="C96" s="2141"/>
      <c r="D96" s="2141"/>
      <c r="E96" s="2141"/>
      <c r="F96" s="2141"/>
      <c r="G96" s="2141"/>
      <c r="H96" s="2141"/>
      <c r="I96" s="225"/>
      <c r="J96" s="448" t="s">
        <v>502</v>
      </c>
      <c r="K96" s="450" t="s">
        <v>635</v>
      </c>
      <c r="N96" s="225"/>
      <c r="O96" s="367"/>
      <c r="P96" s="103"/>
      <c r="Q96" s="88"/>
      <c r="R96" s="88"/>
      <c r="S96" s="88"/>
      <c r="T96" s="88"/>
    </row>
    <row r="97" spans="1:20" s="105" customFormat="1" ht="18.75">
      <c r="A97" s="103"/>
      <c r="B97" s="367"/>
      <c r="C97" s="2141"/>
      <c r="D97" s="2141"/>
      <c r="E97" s="2141"/>
      <c r="F97" s="2141"/>
      <c r="G97" s="2141"/>
      <c r="H97" s="2141"/>
      <c r="I97" s="387"/>
      <c r="J97" s="1202" t="s">
        <v>559</v>
      </c>
      <c r="K97" s="450" t="s">
        <v>636</v>
      </c>
      <c r="N97" s="387"/>
      <c r="O97" s="367"/>
      <c r="P97" s="103"/>
      <c r="Q97" s="88"/>
      <c r="R97" s="88"/>
      <c r="S97" s="88"/>
      <c r="T97" s="88"/>
    </row>
    <row r="98" spans="1:20" s="105" customFormat="1" ht="18.75">
      <c r="A98" s="103"/>
      <c r="B98" s="367"/>
      <c r="C98" s="471" t="s">
        <v>639</v>
      </c>
      <c r="D98" s="387"/>
      <c r="E98" s="387"/>
      <c r="F98" s="387"/>
      <c r="G98" s="387"/>
      <c r="H98" s="387"/>
      <c r="I98" s="387"/>
      <c r="J98" s="387"/>
      <c r="K98" s="387"/>
      <c r="L98" s="387"/>
      <c r="M98" s="387"/>
      <c r="N98" s="387"/>
      <c r="O98" s="367"/>
      <c r="P98" s="103"/>
      <c r="Q98" s="88"/>
      <c r="R98" s="88"/>
      <c r="S98" s="88"/>
      <c r="T98" s="88"/>
    </row>
    <row r="99" spans="1:20" s="105" customFormat="1" ht="18.75">
      <c r="A99" s="103"/>
      <c r="B99" s="367"/>
      <c r="C99" s="226" t="s">
        <v>569</v>
      </c>
      <c r="D99" s="226"/>
      <c r="E99" s="226"/>
      <c r="F99" s="226"/>
      <c r="G99" s="226"/>
      <c r="H99" s="226"/>
      <c r="I99" s="226"/>
      <c r="J99" s="227"/>
      <c r="K99" s="226"/>
      <c r="L99" s="387"/>
      <c r="M99" s="387"/>
      <c r="N99" s="387"/>
      <c r="O99" s="367"/>
      <c r="P99" s="103"/>
      <c r="Q99" s="88"/>
      <c r="R99" s="88"/>
      <c r="S99" s="88"/>
      <c r="T99" s="88"/>
    </row>
    <row r="100" spans="1:20" s="105" customFormat="1" ht="18.75">
      <c r="A100" s="103"/>
      <c r="B100" s="367"/>
      <c r="C100" s="226" t="s">
        <v>568</v>
      </c>
      <c r="D100" s="226"/>
      <c r="E100" s="226"/>
      <c r="F100" s="226"/>
      <c r="G100" s="226"/>
      <c r="H100" s="224"/>
      <c r="I100" s="224"/>
      <c r="J100" s="224"/>
      <c r="K100" s="224"/>
      <c r="L100" s="387"/>
      <c r="M100" s="387"/>
      <c r="N100" s="387"/>
      <c r="O100" s="367"/>
      <c r="P100" s="103"/>
      <c r="Q100" s="88"/>
      <c r="R100" s="88"/>
      <c r="S100" s="88"/>
      <c r="T100" s="88"/>
    </row>
    <row r="101" spans="1:20" s="105" customFormat="1" ht="18.75">
      <c r="A101" s="103"/>
      <c r="B101" s="367"/>
      <c r="C101" s="226"/>
      <c r="D101" s="226"/>
      <c r="E101" s="226"/>
      <c r="F101" s="224"/>
      <c r="G101" s="364"/>
      <c r="H101" s="224"/>
      <c r="I101" s="354" t="s">
        <v>434</v>
      </c>
      <c r="J101" s="355" t="s">
        <v>435</v>
      </c>
      <c r="K101" s="354" t="s">
        <v>382</v>
      </c>
      <c r="L101" s="387"/>
      <c r="M101" s="387"/>
      <c r="N101" s="387"/>
      <c r="O101" s="367"/>
      <c r="P101" s="103"/>
      <c r="Q101" s="88"/>
      <c r="R101" s="88"/>
      <c r="S101" s="88"/>
      <c r="T101" s="88"/>
    </row>
    <row r="102" spans="1:20" s="105" customFormat="1" ht="18.75">
      <c r="A102" s="103"/>
      <c r="B102" s="367"/>
      <c r="D102" s="241" t="s">
        <v>566</v>
      </c>
      <c r="E102" s="226"/>
      <c r="F102" s="224"/>
      <c r="G102" s="364"/>
      <c r="H102" s="365" t="s">
        <v>515</v>
      </c>
      <c r="I102" s="803">
        <v>200</v>
      </c>
      <c r="J102" s="803">
        <v>400</v>
      </c>
      <c r="K102" s="804">
        <f>(I102*I103)+(J102*J103)</f>
        <v>240</v>
      </c>
      <c r="L102" s="387"/>
      <c r="M102" s="387"/>
      <c r="N102" s="387"/>
      <c r="O102" s="367"/>
      <c r="P102" s="103"/>
      <c r="Q102" s="88"/>
      <c r="R102" s="88"/>
      <c r="S102" s="88"/>
      <c r="T102" s="88"/>
    </row>
    <row r="103" spans="1:20" s="105" customFormat="1" ht="18.75">
      <c r="A103" s="103"/>
      <c r="B103" s="367"/>
      <c r="D103" s="226"/>
      <c r="E103" s="802">
        <v>580</v>
      </c>
      <c r="F103" s="224"/>
      <c r="G103" s="364"/>
      <c r="H103" s="365" t="s">
        <v>516</v>
      </c>
      <c r="I103" s="356">
        <f>1-J103</f>
        <v>0.8</v>
      </c>
      <c r="J103" s="805">
        <v>0.2</v>
      </c>
      <c r="K103" s="806">
        <f>I103+J103</f>
        <v>1</v>
      </c>
      <c r="L103" s="387"/>
      <c r="M103" s="387"/>
      <c r="N103" s="387"/>
      <c r="O103" s="367"/>
      <c r="P103" s="103"/>
      <c r="Q103" s="88"/>
      <c r="R103" s="88"/>
      <c r="S103" s="88"/>
      <c r="T103" s="88"/>
    </row>
    <row r="104" spans="1:20" s="105" customFormat="1" ht="18.75">
      <c r="A104" s="103"/>
      <c r="B104" s="367"/>
      <c r="C104" s="226"/>
      <c r="D104" s="226"/>
      <c r="E104" s="226"/>
      <c r="F104" s="226"/>
      <c r="G104" s="226"/>
      <c r="H104" s="365" t="s">
        <v>517</v>
      </c>
      <c r="I104" s="357">
        <f>E103*I103</f>
        <v>464</v>
      </c>
      <c r="J104" s="357">
        <f>E103*J103</f>
        <v>116</v>
      </c>
      <c r="K104" s="357">
        <f>I104+J104</f>
        <v>580</v>
      </c>
      <c r="L104" s="387"/>
      <c r="M104" s="387"/>
      <c r="N104" s="387"/>
      <c r="O104" s="367"/>
      <c r="P104" s="103"/>
      <c r="Q104" s="88"/>
      <c r="R104" s="88"/>
      <c r="S104" s="88"/>
      <c r="T104" s="88"/>
    </row>
    <row r="105" spans="1:20" s="105" customFormat="1" ht="18.75">
      <c r="A105" s="103"/>
      <c r="B105" s="367"/>
      <c r="C105" s="387"/>
      <c r="D105" s="387"/>
      <c r="E105" s="387"/>
      <c r="F105" s="387"/>
      <c r="G105" s="387"/>
      <c r="H105" s="387"/>
      <c r="I105" s="387"/>
      <c r="J105" s="387"/>
      <c r="K105" s="387"/>
      <c r="L105" s="387"/>
      <c r="M105" s="387"/>
      <c r="N105" s="387"/>
      <c r="O105" s="367"/>
      <c r="P105" s="103"/>
      <c r="Q105" s="88"/>
      <c r="R105" s="88"/>
      <c r="S105" s="88"/>
      <c r="T105" s="88"/>
    </row>
    <row r="106" spans="1:20" s="105" customFormat="1" ht="18.75">
      <c r="A106" s="103"/>
      <c r="B106" s="367"/>
      <c r="C106" s="418"/>
      <c r="D106" s="418"/>
      <c r="E106" s="418"/>
      <c r="F106" s="418"/>
      <c r="G106" s="418"/>
      <c r="H106" s="418"/>
      <c r="I106" s="418"/>
      <c r="J106" s="418"/>
      <c r="K106" s="418"/>
      <c r="L106" s="418"/>
      <c r="M106" s="418"/>
      <c r="N106" s="418"/>
      <c r="O106" s="367"/>
      <c r="P106" s="103"/>
      <c r="Q106" s="88"/>
      <c r="R106" s="88"/>
      <c r="S106" s="88"/>
      <c r="T106" s="88"/>
    </row>
    <row r="107" spans="1:20" s="105" customFormat="1" ht="18.75">
      <c r="A107" s="103"/>
      <c r="B107" s="367"/>
      <c r="C107" s="387"/>
      <c r="D107" s="387"/>
      <c r="E107" s="387"/>
      <c r="F107" s="387"/>
      <c r="G107" s="387"/>
      <c r="H107" s="387"/>
      <c r="I107" s="387"/>
      <c r="J107" s="387"/>
      <c r="K107" s="387"/>
      <c r="L107" s="387"/>
      <c r="M107" s="387"/>
      <c r="N107" s="387"/>
      <c r="O107" s="367"/>
      <c r="P107" s="103"/>
      <c r="Q107" s="88"/>
      <c r="R107" s="88"/>
      <c r="S107" s="88"/>
      <c r="T107" s="88"/>
    </row>
    <row r="108" spans="1:20" s="105" customFormat="1" ht="18.75">
      <c r="A108" s="103"/>
      <c r="B108" s="367"/>
      <c r="C108" s="472" t="s">
        <v>654</v>
      </c>
      <c r="D108" s="226"/>
      <c r="E108" s="226"/>
      <c r="F108" s="226"/>
      <c r="G108" s="226"/>
      <c r="H108" s="226"/>
      <c r="I108" s="226"/>
      <c r="J108" s="227"/>
      <c r="K108" s="226"/>
      <c r="L108" s="224"/>
      <c r="M108" s="224"/>
      <c r="N108" s="361"/>
      <c r="O108" s="367"/>
      <c r="P108" s="103"/>
      <c r="Q108" s="88"/>
      <c r="R108" s="88"/>
      <c r="S108" s="88"/>
      <c r="T108" s="88"/>
    </row>
    <row r="109" spans="1:20" s="105" customFormat="1" ht="18.75">
      <c r="A109" s="103"/>
      <c r="B109" s="367"/>
      <c r="C109" s="226" t="s">
        <v>472</v>
      </c>
      <c r="D109" s="226"/>
      <c r="E109" s="226"/>
      <c r="F109" s="226"/>
      <c r="G109" s="226"/>
      <c r="H109" s="226"/>
      <c r="I109" s="226"/>
      <c r="J109" s="227"/>
      <c r="K109" s="226"/>
      <c r="L109" s="224"/>
      <c r="M109" s="224"/>
      <c r="N109" s="361"/>
      <c r="O109" s="367"/>
      <c r="P109" s="103"/>
      <c r="Q109" s="88"/>
      <c r="R109" s="88"/>
      <c r="S109" s="88"/>
      <c r="T109" s="88"/>
    </row>
    <row r="110" spans="1:20" s="105" customFormat="1" ht="18.75">
      <c r="A110" s="103"/>
      <c r="B110" s="367"/>
      <c r="C110" s="226" t="s">
        <v>471</v>
      </c>
      <c r="D110" s="226"/>
      <c r="E110" s="226"/>
      <c r="F110" s="226"/>
      <c r="G110" s="226"/>
      <c r="H110" s="226"/>
      <c r="I110" s="226"/>
      <c r="J110" s="227"/>
      <c r="K110" s="226"/>
      <c r="L110" s="224"/>
      <c r="M110" s="224"/>
      <c r="N110" s="361"/>
      <c r="O110" s="367"/>
      <c r="P110" s="103"/>
      <c r="Q110" s="88"/>
      <c r="R110" s="88"/>
      <c r="S110" s="88"/>
      <c r="T110" s="88"/>
    </row>
    <row r="111" spans="1:20" s="105" customFormat="1" ht="18.75">
      <c r="A111" s="103"/>
      <c r="B111" s="367"/>
      <c r="C111" s="226"/>
      <c r="D111" s="226"/>
      <c r="E111" s="226"/>
      <c r="F111" s="226"/>
      <c r="G111" s="226"/>
      <c r="H111" s="226"/>
      <c r="I111" s="226"/>
      <c r="J111" s="227"/>
      <c r="K111" s="226"/>
      <c r="L111" s="224"/>
      <c r="M111" s="224"/>
      <c r="N111" s="361"/>
      <c r="O111" s="367"/>
      <c r="P111" s="103"/>
      <c r="Q111" s="88"/>
      <c r="R111" s="88"/>
      <c r="S111" s="88"/>
      <c r="T111" s="88"/>
    </row>
    <row r="112" spans="1:20" s="105" customFormat="1" ht="18.75">
      <c r="A112" s="103"/>
      <c r="B112" s="367"/>
      <c r="C112" s="241" t="s">
        <v>436</v>
      </c>
      <c r="D112" s="226"/>
      <c r="E112" s="224"/>
      <c r="F112" s="224"/>
      <c r="G112" s="247">
        <v>580</v>
      </c>
      <c r="H112" s="243" t="s">
        <v>458</v>
      </c>
      <c r="I112" s="226"/>
      <c r="J112" s="227"/>
      <c r="K112" s="226"/>
      <c r="L112" s="224"/>
      <c r="M112" s="224"/>
      <c r="N112" s="361"/>
      <c r="O112" s="367"/>
      <c r="P112" s="103"/>
      <c r="Q112" s="88"/>
      <c r="R112" s="88"/>
      <c r="S112" s="88"/>
      <c r="T112" s="88"/>
    </row>
    <row r="113" spans="1:16" s="105" customFormat="1" ht="15.75">
      <c r="A113" s="103"/>
      <c r="B113" s="367"/>
      <c r="C113" s="226"/>
      <c r="D113" s="226"/>
      <c r="E113" s="224"/>
      <c r="F113" s="224"/>
      <c r="G113" s="226"/>
      <c r="H113" s="226"/>
      <c r="I113" s="226"/>
      <c r="J113" s="227"/>
      <c r="K113" s="226"/>
      <c r="L113" s="224"/>
      <c r="M113" s="224"/>
      <c r="N113" s="361"/>
      <c r="O113" s="367"/>
      <c r="P113" s="103"/>
    </row>
    <row r="114" spans="1:16" s="105" customFormat="1" ht="15.75">
      <c r="A114" s="103"/>
      <c r="B114" s="367"/>
      <c r="C114" s="358" t="s">
        <v>459</v>
      </c>
      <c r="D114" s="241"/>
      <c r="E114" s="224"/>
      <c r="F114" s="224"/>
      <c r="G114" s="226"/>
      <c r="H114" s="226"/>
      <c r="I114" s="226"/>
      <c r="J114" s="227"/>
      <c r="K114" s="226"/>
      <c r="L114" s="224"/>
      <c r="M114" s="224"/>
      <c r="N114" s="361"/>
      <c r="O114" s="367"/>
      <c r="P114" s="103"/>
    </row>
    <row r="115" spans="1:16" s="105" customFormat="1" ht="15.75">
      <c r="A115" s="103"/>
      <c r="B115" s="367"/>
      <c r="C115" s="241"/>
      <c r="D115" s="224"/>
      <c r="E115" s="224"/>
      <c r="F115" s="241" t="s">
        <v>434</v>
      </c>
      <c r="G115" s="251">
        <v>0.8</v>
      </c>
      <c r="H115" s="244">
        <f>G112*G115</f>
        <v>464</v>
      </c>
      <c r="I115" s="226"/>
      <c r="J115" s="227"/>
      <c r="K115" s="226"/>
      <c r="L115" s="224"/>
      <c r="M115" s="224"/>
      <c r="N115" s="361"/>
      <c r="O115" s="367"/>
      <c r="P115" s="103"/>
    </row>
    <row r="116" spans="1:16" s="105" customFormat="1" ht="15.75" customHeight="1">
      <c r="A116" s="103"/>
      <c r="B116" s="367"/>
      <c r="C116" s="241"/>
      <c r="D116" s="224"/>
      <c r="E116" s="224"/>
      <c r="F116" s="241" t="s">
        <v>435</v>
      </c>
      <c r="G116" s="353">
        <f>1-G115</f>
        <v>0.19999999999999996</v>
      </c>
      <c r="H116" s="244">
        <f>G112*G116</f>
        <v>115.99999999999997</v>
      </c>
      <c r="I116" s="226"/>
      <c r="J116" s="227"/>
      <c r="K116" s="226"/>
      <c r="L116" s="224"/>
      <c r="M116" s="224"/>
      <c r="N116" s="361"/>
      <c r="O116" s="367"/>
      <c r="P116" s="103"/>
    </row>
    <row r="117" spans="1:16" s="105" customFormat="1" ht="15.75">
      <c r="A117" s="103"/>
      <c r="B117" s="367"/>
      <c r="C117" s="226"/>
      <c r="D117" s="226"/>
      <c r="E117" s="353"/>
      <c r="F117" s="244"/>
      <c r="G117" s="226"/>
      <c r="H117" s="226"/>
      <c r="I117" s="226"/>
      <c r="J117" s="227"/>
      <c r="K117" s="226"/>
      <c r="L117" s="224"/>
      <c r="M117" s="224"/>
      <c r="N117" s="361"/>
      <c r="O117" s="367"/>
      <c r="P117" s="103"/>
    </row>
    <row r="118" spans="1:16" s="105" customFormat="1" ht="15.75">
      <c r="A118" s="103"/>
      <c r="B118" s="367"/>
      <c r="C118" s="236"/>
      <c r="D118" s="236"/>
      <c r="E118" s="362"/>
      <c r="F118" s="363"/>
      <c r="G118" s="236"/>
      <c r="H118" s="236"/>
      <c r="I118" s="236"/>
      <c r="J118" s="238"/>
      <c r="K118" s="236"/>
      <c r="L118" s="473"/>
      <c r="M118" s="473"/>
      <c r="N118" s="474"/>
      <c r="O118" s="367"/>
      <c r="P118" s="103"/>
    </row>
    <row r="119" spans="1:16" s="105" customFormat="1" ht="15.75">
      <c r="A119" s="103"/>
      <c r="B119" s="367"/>
      <c r="C119" s="224"/>
      <c r="D119" s="224"/>
      <c r="E119" s="224"/>
      <c r="F119" s="224"/>
      <c r="G119" s="224"/>
      <c r="H119" s="224"/>
      <c r="I119" s="224"/>
      <c r="J119" s="224"/>
      <c r="K119" s="224"/>
      <c r="L119" s="224"/>
      <c r="M119" s="224"/>
      <c r="N119" s="361"/>
      <c r="O119" s="367"/>
      <c r="P119" s="103"/>
    </row>
    <row r="120" spans="1:16" ht="26.25">
      <c r="A120" s="2136"/>
      <c r="C120" s="383" t="s">
        <v>640</v>
      </c>
      <c r="D120" s="16"/>
      <c r="E120" s="18"/>
      <c r="F120" s="67"/>
      <c r="I120" s="18"/>
      <c r="J120" s="410"/>
      <c r="K120" s="18"/>
      <c r="L120" s="411"/>
      <c r="P120" s="89"/>
    </row>
    <row r="121" spans="1:16" ht="38.25" customHeight="1">
      <c r="A121" s="2136"/>
      <c r="C121" s="2123" t="s">
        <v>942</v>
      </c>
      <c r="D121" s="2123"/>
      <c r="E121" s="2123"/>
      <c r="F121" s="2123"/>
      <c r="G121" s="2123"/>
      <c r="H121" s="2123"/>
      <c r="I121" s="2123"/>
      <c r="J121" s="2123"/>
      <c r="K121" s="2123"/>
      <c r="L121" s="2123"/>
      <c r="M121" s="2123"/>
      <c r="N121" s="2123"/>
      <c r="P121" s="89"/>
    </row>
    <row r="122" spans="1:16">
      <c r="A122" s="2136"/>
      <c r="P122" s="89"/>
    </row>
    <row r="123" spans="1:16" ht="18.75" customHeight="1">
      <c r="A123" s="2136"/>
      <c r="C123" s="1285"/>
      <c r="D123" s="1286"/>
      <c r="E123" s="1286"/>
      <c r="F123" s="1286"/>
      <c r="G123" s="1286"/>
      <c r="H123" s="1286"/>
      <c r="I123" s="1287"/>
      <c r="J123" s="1288" t="s">
        <v>929</v>
      </c>
      <c r="K123" s="1289"/>
      <c r="L123" s="1289"/>
      <c r="M123" s="1290"/>
      <c r="P123" s="89"/>
    </row>
    <row r="124" spans="1:16" ht="18.75" customHeight="1">
      <c r="A124" s="2136"/>
      <c r="C124" s="2130" t="s">
        <v>507</v>
      </c>
      <c r="D124" s="2131"/>
      <c r="E124" s="2131"/>
      <c r="F124" s="2131"/>
      <c r="G124" s="1291" t="s">
        <v>510</v>
      </c>
      <c r="H124" s="1292" t="s">
        <v>488</v>
      </c>
      <c r="I124" s="1293" t="s">
        <v>489</v>
      </c>
      <c r="J124" s="1294" t="s">
        <v>305</v>
      </c>
      <c r="K124" s="2131" t="s">
        <v>549</v>
      </c>
      <c r="L124" s="2131"/>
      <c r="M124" s="2132"/>
      <c r="P124" s="89"/>
    </row>
    <row r="125" spans="1:16" ht="18.75" customHeight="1">
      <c r="A125" s="2136"/>
      <c r="C125" s="44" t="s">
        <v>1215</v>
      </c>
      <c r="G125" s="37"/>
      <c r="H125" s="1144">
        <v>0.01</v>
      </c>
      <c r="I125" s="1208"/>
      <c r="J125" s="415"/>
      <c r="K125" s="428"/>
      <c r="M125" s="45"/>
      <c r="P125" s="89"/>
    </row>
    <row r="126" spans="1:16" ht="18.75" customHeight="1">
      <c r="A126" s="2136"/>
      <c r="C126" s="44" t="s">
        <v>1214</v>
      </c>
      <c r="G126" s="37"/>
      <c r="H126" s="1144">
        <v>0.02</v>
      </c>
      <c r="I126" s="1208"/>
      <c r="J126" s="415"/>
      <c r="K126" s="428"/>
      <c r="M126" s="45"/>
      <c r="P126" s="89"/>
    </row>
    <row r="127" spans="1:16" ht="18.75" customHeight="1">
      <c r="A127" s="2136"/>
      <c r="C127" s="44" t="s">
        <v>1116</v>
      </c>
      <c r="G127" s="37"/>
      <c r="H127" s="1144">
        <v>0.03</v>
      </c>
      <c r="I127" s="1208"/>
      <c r="J127" s="415"/>
      <c r="K127" s="428"/>
      <c r="M127" s="45"/>
      <c r="P127" s="89"/>
    </row>
    <row r="128" spans="1:16" ht="18.75" customHeight="1">
      <c r="A128" s="2136"/>
      <c r="C128" s="44" t="s">
        <v>503</v>
      </c>
      <c r="G128" s="37" t="s">
        <v>495</v>
      </c>
      <c r="H128" s="1144">
        <v>0.11</v>
      </c>
      <c r="I128" s="1208" t="s">
        <v>494</v>
      </c>
      <c r="J128" s="415"/>
      <c r="K128" s="416" t="s">
        <v>567</v>
      </c>
      <c r="M128" s="45"/>
      <c r="P128" s="366"/>
    </row>
    <row r="129" spans="1:21" ht="18.75" customHeight="1">
      <c r="A129" s="2136"/>
      <c r="C129" s="44" t="s">
        <v>504</v>
      </c>
      <c r="G129" s="37" t="s">
        <v>496</v>
      </c>
      <c r="H129" s="1144">
        <v>0.115</v>
      </c>
      <c r="I129" s="1208" t="s">
        <v>492</v>
      </c>
      <c r="J129" s="415" t="s">
        <v>511</v>
      </c>
      <c r="K129" s="416" t="s">
        <v>567</v>
      </c>
      <c r="M129" s="45"/>
      <c r="P129" s="89"/>
    </row>
    <row r="130" spans="1:21" ht="18.75" customHeight="1">
      <c r="A130" s="2136"/>
      <c r="C130" s="44" t="s">
        <v>913</v>
      </c>
      <c r="G130" s="37" t="s">
        <v>495</v>
      </c>
      <c r="H130" s="1144">
        <v>0.12</v>
      </c>
      <c r="I130" s="1208" t="s">
        <v>908</v>
      </c>
      <c r="J130" s="376"/>
      <c r="K130" s="374" t="s">
        <v>912</v>
      </c>
      <c r="M130" s="45"/>
      <c r="P130" s="89"/>
    </row>
    <row r="131" spans="1:21" ht="18.75" customHeight="1">
      <c r="A131" s="2136"/>
      <c r="C131" s="44" t="s">
        <v>914</v>
      </c>
      <c r="G131" s="37" t="s">
        <v>495</v>
      </c>
      <c r="H131" s="1144">
        <v>0.12</v>
      </c>
      <c r="I131" s="1208" t="s">
        <v>909</v>
      </c>
      <c r="J131" s="376"/>
      <c r="K131" s="374" t="s">
        <v>514</v>
      </c>
      <c r="M131" s="45"/>
      <c r="P131" s="89"/>
    </row>
    <row r="132" spans="1:21" ht="18.75" customHeight="1">
      <c r="A132" s="2136"/>
      <c r="C132" s="44" t="s">
        <v>915</v>
      </c>
      <c r="G132" s="37" t="s">
        <v>495</v>
      </c>
      <c r="H132" s="1144">
        <v>0.12</v>
      </c>
      <c r="I132" s="1208" t="s">
        <v>910</v>
      </c>
      <c r="J132" s="376"/>
      <c r="K132" s="374" t="s">
        <v>903</v>
      </c>
      <c r="M132" s="45"/>
      <c r="P132" s="89"/>
    </row>
    <row r="133" spans="1:21" ht="18.75" customHeight="1">
      <c r="A133" s="2136"/>
      <c r="C133" s="44" t="s">
        <v>916</v>
      </c>
      <c r="G133" s="37" t="s">
        <v>495</v>
      </c>
      <c r="H133" s="1144">
        <v>0.12</v>
      </c>
      <c r="I133" s="1208" t="s">
        <v>909</v>
      </c>
      <c r="J133" s="376"/>
      <c r="K133" s="374" t="s">
        <v>906</v>
      </c>
      <c r="M133" s="45"/>
      <c r="P133" s="89"/>
    </row>
    <row r="134" spans="1:21" ht="18.75" customHeight="1">
      <c r="A134" s="2136"/>
      <c r="C134" s="44" t="s">
        <v>904</v>
      </c>
      <c r="G134" s="37" t="s">
        <v>496</v>
      </c>
      <c r="H134" s="1144">
        <v>0.12</v>
      </c>
      <c r="I134" s="1208" t="s">
        <v>911</v>
      </c>
      <c r="J134" s="376"/>
      <c r="K134" s="374" t="s">
        <v>905</v>
      </c>
      <c r="M134" s="45"/>
      <c r="P134" s="89"/>
    </row>
    <row r="135" spans="1:21" ht="18.75" customHeight="1">
      <c r="A135" s="2136"/>
      <c r="C135" s="44" t="s">
        <v>922</v>
      </c>
      <c r="G135" s="37" t="s">
        <v>495</v>
      </c>
      <c r="H135" s="1144">
        <v>0.125</v>
      </c>
      <c r="I135" s="1208" t="s">
        <v>493</v>
      </c>
      <c r="J135" s="415"/>
      <c r="K135" s="375" t="s">
        <v>596</v>
      </c>
      <c r="M135" s="45"/>
      <c r="P135" s="89"/>
      <c r="S135" s="371"/>
      <c r="T135" s="371"/>
      <c r="U135" s="371"/>
    </row>
    <row r="136" spans="1:21" ht="18.75" customHeight="1">
      <c r="A136" s="2136"/>
      <c r="C136" s="44" t="s">
        <v>924</v>
      </c>
      <c r="G136" s="37" t="s">
        <v>496</v>
      </c>
      <c r="H136" s="1144">
        <v>0.125</v>
      </c>
      <c r="I136" s="1208" t="s">
        <v>490</v>
      </c>
      <c r="J136" s="415" t="s">
        <v>512</v>
      </c>
      <c r="K136" s="374" t="s">
        <v>593</v>
      </c>
      <c r="M136" s="45"/>
      <c r="P136" s="89"/>
      <c r="S136" s="372"/>
      <c r="T136" s="372"/>
      <c r="U136" s="372"/>
    </row>
    <row r="137" spans="1:21" ht="18.75" customHeight="1">
      <c r="A137" s="2136"/>
      <c r="C137" s="44" t="s">
        <v>927</v>
      </c>
      <c r="G137" s="37" t="s">
        <v>496</v>
      </c>
      <c r="H137" s="1144">
        <v>0.125</v>
      </c>
      <c r="I137" s="1208" t="s">
        <v>928</v>
      </c>
      <c r="J137" s="376"/>
      <c r="K137" s="374" t="s">
        <v>582</v>
      </c>
      <c r="M137" s="45"/>
      <c r="P137" s="89"/>
      <c r="S137" s="372"/>
      <c r="T137" s="372"/>
      <c r="U137" s="372"/>
    </row>
    <row r="138" spans="1:21" ht="18.75" customHeight="1">
      <c r="A138" s="2136"/>
      <c r="C138" s="44" t="s">
        <v>921</v>
      </c>
      <c r="G138" s="37" t="s">
        <v>496</v>
      </c>
      <c r="H138" s="1144">
        <v>0.13</v>
      </c>
      <c r="I138" s="1208" t="s">
        <v>491</v>
      </c>
      <c r="J138" s="415" t="s">
        <v>581</v>
      </c>
      <c r="K138" s="374" t="s">
        <v>514</v>
      </c>
      <c r="M138" s="45"/>
      <c r="P138" s="89"/>
      <c r="S138" s="372"/>
      <c r="T138" s="372"/>
      <c r="U138" s="372"/>
    </row>
    <row r="139" spans="1:21" ht="18.75" customHeight="1">
      <c r="A139" s="2136"/>
      <c r="C139" s="44" t="s">
        <v>1213</v>
      </c>
      <c r="G139" s="37" t="s">
        <v>496</v>
      </c>
      <c r="H139" s="1144">
        <v>0.13</v>
      </c>
      <c r="I139" s="1208" t="s">
        <v>491</v>
      </c>
      <c r="J139" s="376"/>
      <c r="K139" s="374" t="s">
        <v>514</v>
      </c>
      <c r="M139" s="45"/>
      <c r="P139" s="89"/>
      <c r="S139" s="372"/>
      <c r="T139" s="372"/>
      <c r="U139" s="372"/>
    </row>
    <row r="140" spans="1:21" ht="18.75" customHeight="1">
      <c r="A140" s="2136"/>
      <c r="C140" s="44" t="s">
        <v>923</v>
      </c>
      <c r="G140" s="37" t="s">
        <v>495</v>
      </c>
      <c r="H140" s="1144">
        <v>0.13500000000000001</v>
      </c>
      <c r="I140" s="1208" t="s">
        <v>497</v>
      </c>
      <c r="J140" s="376"/>
      <c r="K140" s="374" t="s">
        <v>582</v>
      </c>
      <c r="M140" s="45"/>
      <c r="P140" s="89"/>
      <c r="S140" s="372"/>
      <c r="T140" s="372"/>
      <c r="U140" s="372"/>
    </row>
    <row r="141" spans="1:21" ht="18.75" customHeight="1">
      <c r="A141" s="2136"/>
      <c r="C141" s="44" t="s">
        <v>498</v>
      </c>
      <c r="G141" s="37" t="s">
        <v>496</v>
      </c>
      <c r="H141" s="1144">
        <v>0.14000000000000001</v>
      </c>
      <c r="I141" s="1208" t="s">
        <v>907</v>
      </c>
      <c r="J141" s="415"/>
      <c r="K141" s="374"/>
      <c r="M141" s="45"/>
      <c r="P141" s="89"/>
      <c r="S141" s="372"/>
      <c r="T141" s="372"/>
      <c r="U141" s="372"/>
    </row>
    <row r="142" spans="1:21" ht="18.75" customHeight="1">
      <c r="A142" s="2136"/>
      <c r="C142" s="44" t="s">
        <v>1255</v>
      </c>
      <c r="G142" s="37" t="s">
        <v>496</v>
      </c>
      <c r="H142" s="1144">
        <v>0.14249999999999999</v>
      </c>
      <c r="I142" s="1208" t="s">
        <v>1254</v>
      </c>
      <c r="J142" s="376"/>
      <c r="K142" s="374" t="s">
        <v>1253</v>
      </c>
      <c r="M142" s="45"/>
      <c r="P142" s="89"/>
      <c r="S142" s="372"/>
      <c r="T142" s="372"/>
      <c r="U142" s="372"/>
    </row>
    <row r="143" spans="1:21" ht="18.75" customHeight="1">
      <c r="A143" s="2136"/>
      <c r="C143" s="44" t="s">
        <v>506</v>
      </c>
      <c r="G143" s="37" t="s">
        <v>495</v>
      </c>
      <c r="H143" s="1144">
        <v>0.15</v>
      </c>
      <c r="I143" s="1208" t="s">
        <v>1254</v>
      </c>
      <c r="J143" s="377"/>
      <c r="K143" s="374" t="s">
        <v>1253</v>
      </c>
      <c r="M143" s="45"/>
      <c r="P143" s="89"/>
      <c r="S143" s="372"/>
      <c r="T143" s="372"/>
      <c r="U143" s="372"/>
    </row>
    <row r="144" spans="1:21" ht="18.75" customHeight="1">
      <c r="A144" s="2136"/>
      <c r="C144" s="44" t="s">
        <v>583</v>
      </c>
      <c r="G144" s="37" t="s">
        <v>496</v>
      </c>
      <c r="H144" s="1144" t="s">
        <v>508</v>
      </c>
      <c r="I144" s="1208" t="s">
        <v>509</v>
      </c>
      <c r="J144" s="376"/>
      <c r="K144" s="374" t="s">
        <v>584</v>
      </c>
      <c r="M144" s="45"/>
      <c r="P144" s="89"/>
      <c r="S144" s="373"/>
      <c r="T144" s="372"/>
      <c r="U144" s="372"/>
    </row>
    <row r="145" spans="1:21" ht="18.75" customHeight="1">
      <c r="A145" s="2136"/>
      <c r="C145" s="47" t="s">
        <v>499</v>
      </c>
      <c r="D145" s="82"/>
      <c r="E145" s="82"/>
      <c r="F145" s="82"/>
      <c r="G145" s="1145" t="s">
        <v>496</v>
      </c>
      <c r="H145" s="1146" t="s">
        <v>502</v>
      </c>
      <c r="I145" s="1209" t="s">
        <v>500</v>
      </c>
      <c r="J145" s="1210"/>
      <c r="K145" s="1211" t="s">
        <v>585</v>
      </c>
      <c r="L145" s="82"/>
      <c r="M145" s="48"/>
      <c r="P145" s="89"/>
      <c r="S145" s="378"/>
      <c r="T145" s="372"/>
      <c r="U145" s="372"/>
    </row>
    <row r="146" spans="1:21">
      <c r="A146" s="2136"/>
      <c r="G146" s="352"/>
      <c r="H146" s="18"/>
      <c r="J146" s="18"/>
      <c r="P146" s="89"/>
      <c r="R146" s="379"/>
      <c r="S146" s="378"/>
      <c r="T146" s="372"/>
      <c r="U146" s="372"/>
    </row>
    <row r="147" spans="1:21" ht="15.75" customHeight="1">
      <c r="A147" s="2136"/>
      <c r="C147" s="2119" t="s">
        <v>642</v>
      </c>
      <c r="D147" s="2119"/>
      <c r="E147" s="2119"/>
      <c r="F147" s="2119"/>
      <c r="G147" s="2119"/>
      <c r="H147" s="2119"/>
      <c r="I147" s="2119"/>
      <c r="J147" s="2119"/>
      <c r="K147" s="2119"/>
      <c r="L147" s="2119"/>
      <c r="M147" s="2119"/>
      <c r="N147" s="2119"/>
      <c r="P147" s="89"/>
      <c r="R147" s="379"/>
      <c r="S147" s="378"/>
      <c r="T147" s="372"/>
      <c r="U147" s="372"/>
    </row>
    <row r="148" spans="1:21" ht="15" customHeight="1">
      <c r="A148" s="2136"/>
      <c r="C148" s="2119"/>
      <c r="D148" s="2119"/>
      <c r="E148" s="2119"/>
      <c r="F148" s="2119"/>
      <c r="G148" s="2119"/>
      <c r="H148" s="2119"/>
      <c r="I148" s="2119"/>
      <c r="J148" s="2119"/>
      <c r="K148" s="2119"/>
      <c r="L148" s="2119"/>
      <c r="M148" s="2119"/>
      <c r="N148" s="2119"/>
      <c r="P148" s="89"/>
      <c r="R148" s="379"/>
      <c r="S148" s="380"/>
      <c r="T148" s="372"/>
      <c r="U148" s="372"/>
    </row>
    <row r="149" spans="1:21">
      <c r="A149" s="2136"/>
      <c r="P149" s="89"/>
      <c r="R149" s="379"/>
      <c r="S149" s="380"/>
      <c r="T149" s="372"/>
      <c r="U149" s="372"/>
    </row>
    <row r="150" spans="1:21">
      <c r="A150" s="89"/>
      <c r="B150" s="89"/>
      <c r="C150" s="89"/>
      <c r="D150" s="89"/>
      <c r="E150" s="89"/>
      <c r="F150" s="89"/>
      <c r="G150" s="89"/>
      <c r="H150" s="89"/>
      <c r="I150" s="89"/>
      <c r="J150" s="89"/>
      <c r="K150" s="89"/>
      <c r="L150" s="89"/>
      <c r="M150" s="89"/>
      <c r="N150" s="89"/>
      <c r="O150" s="89"/>
      <c r="P150" s="89"/>
    </row>
  </sheetData>
  <sheetProtection algorithmName="SHA-512" hashValue="6pjbgJPdfZBKMCtiFAQsmSxIy1jYJiI7VfCJlWMkfvmm9Fg6SLVhR0a/DmSM7ApujRr8WD+PUg7ENrqE6xu+LA==" saltValue="WmrvUMcfBrEyrtVGQFhbvw==" spinCount="100000" sheet="1" objects="1" scenarios="1" selectLockedCells="1" autoFilter="0"/>
  <autoFilter ref="C124:M145" xr:uid="{B3089976-758C-465E-8897-AFFE72A90531}">
    <filterColumn colId="0" showButton="0"/>
    <filterColumn colId="1" showButton="0"/>
    <filterColumn colId="2" showButton="0"/>
    <filterColumn colId="8" showButton="0"/>
    <filterColumn colId="9" showButton="0"/>
    <sortState xmlns:xlrd2="http://schemas.microsoft.com/office/spreadsheetml/2017/richdata2" ref="C125:M145">
      <sortCondition ref="H124:H145"/>
    </sortState>
  </autoFilter>
  <sortState xmlns:xlrd2="http://schemas.microsoft.com/office/spreadsheetml/2017/richdata2" ref="C125:M145">
    <sortCondition ref="C125:C145"/>
    <sortCondition ref="H125:H145"/>
  </sortState>
  <mergeCells count="36">
    <mergeCell ref="A120:A149"/>
    <mergeCell ref="A74:A88"/>
    <mergeCell ref="A53:A70"/>
    <mergeCell ref="A12:A28"/>
    <mergeCell ref="E81:N81"/>
    <mergeCell ref="E80:N80"/>
    <mergeCell ref="E79:N79"/>
    <mergeCell ref="C71:N71"/>
    <mergeCell ref="C55:N55"/>
    <mergeCell ref="C76:N76"/>
    <mergeCell ref="C78:N78"/>
    <mergeCell ref="C81:D81"/>
    <mergeCell ref="C80:D80"/>
    <mergeCell ref="C57:N60"/>
    <mergeCell ref="C79:D79"/>
    <mergeCell ref="C90:H97"/>
    <mergeCell ref="L2:M3"/>
    <mergeCell ref="J2:K3"/>
    <mergeCell ref="H2:I3"/>
    <mergeCell ref="F2:G3"/>
    <mergeCell ref="C1:E4"/>
    <mergeCell ref="C147:N148"/>
    <mergeCell ref="E82:M82"/>
    <mergeCell ref="C82:D82"/>
    <mergeCell ref="C121:N121"/>
    <mergeCell ref="C9:N10"/>
    <mergeCell ref="C27:N28"/>
    <mergeCell ref="C37:N38"/>
    <mergeCell ref="F40:G40"/>
    <mergeCell ref="H19:I19"/>
    <mergeCell ref="C36:N36"/>
    <mergeCell ref="E33:J33"/>
    <mergeCell ref="C14:N15"/>
    <mergeCell ref="C17:N17"/>
    <mergeCell ref="C124:F124"/>
    <mergeCell ref="K124:M124"/>
  </mergeCells>
  <pageMargins left="0.19685039370078741" right="0.19685039370078741" top="0.19685039370078741" bottom="0.19685039370078741" header="0.31496062992125984" footer="0.31496062992125984"/>
  <pageSetup paperSize="9" scale="71" fitToHeight="8" orientation="portrait"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DF231-69B4-4FA5-AF18-34CFE0E12B84}">
  <sheetPr codeName="Ark22">
    <tabColor theme="9" tint="0.79998168889431442"/>
    <pageSetUpPr fitToPage="1"/>
  </sheetPr>
  <dimension ref="A1:P240"/>
  <sheetViews>
    <sheetView showGridLines="0" showRowColHeaders="0" zoomScaleNormal="100" workbookViewId="0">
      <pane ySplit="4" topLeftCell="A5" activePane="bottomLeft" state="frozen"/>
      <selection pane="bottomLeft" activeCell="G28" sqref="G28"/>
    </sheetView>
  </sheetViews>
  <sheetFormatPr defaultColWidth="0" defaultRowHeight="0" customHeight="1" zeroHeight="1"/>
  <cols>
    <col min="1" max="1" width="2.42578125" customWidth="1"/>
    <col min="2" max="2" width="3.28515625" customWidth="1"/>
    <col min="3" max="3" width="7.7109375" customWidth="1"/>
    <col min="4" max="4" width="11.42578125" customWidth="1"/>
    <col min="5" max="5" width="15" customWidth="1"/>
    <col min="6" max="7" width="13" customWidth="1"/>
    <col min="8" max="8" width="9.140625" customWidth="1"/>
    <col min="9" max="10" width="10.140625" customWidth="1"/>
    <col min="11" max="11" width="12" customWidth="1"/>
    <col min="12" max="12" width="10.140625" customWidth="1"/>
    <col min="13" max="13" width="10.7109375" customWidth="1"/>
    <col min="14" max="14" width="6.7109375" customWidth="1"/>
    <col min="15" max="15" width="3.42578125" customWidth="1"/>
    <col min="16" max="16" width="2.7109375" customWidth="1"/>
    <col min="17" max="16384" width="9.140625" hidden="1"/>
  </cols>
  <sheetData>
    <row r="1" spans="1:16" ht="15" customHeight="1">
      <c r="A1" s="217"/>
      <c r="B1" s="217"/>
      <c r="C1" s="2134" t="s">
        <v>299</v>
      </c>
      <c r="D1" s="2134"/>
      <c r="E1" s="2134"/>
      <c r="F1" s="441"/>
      <c r="G1" s="441"/>
      <c r="H1" s="441"/>
      <c r="I1" s="441"/>
      <c r="J1" s="441"/>
      <c r="K1" s="442"/>
      <c r="L1" s="442"/>
      <c r="M1" s="443"/>
      <c r="N1" s="443"/>
      <c r="O1" s="442"/>
      <c r="P1" s="442"/>
    </row>
    <row r="2" spans="1:16" ht="15" customHeight="1">
      <c r="A2" s="217"/>
      <c r="B2" s="217"/>
      <c r="C2" s="2134"/>
      <c r="D2" s="2134"/>
      <c r="E2" s="2134"/>
      <c r="F2" s="2133"/>
      <c r="G2" s="2133"/>
      <c r="H2" s="2133"/>
      <c r="I2" s="2133"/>
      <c r="J2" s="2133"/>
      <c r="K2" s="2133"/>
      <c r="L2" s="2133"/>
      <c r="M2" s="2133"/>
      <c r="N2" s="443"/>
      <c r="O2" s="442"/>
      <c r="P2" s="442"/>
    </row>
    <row r="3" spans="1:16" ht="15" customHeight="1">
      <c r="A3" s="217"/>
      <c r="B3" s="217"/>
      <c r="C3" s="2134"/>
      <c r="D3" s="2134"/>
      <c r="E3" s="2134"/>
      <c r="F3" s="2133"/>
      <c r="G3" s="2133"/>
      <c r="H3" s="2133"/>
      <c r="I3" s="2133"/>
      <c r="J3" s="2133"/>
      <c r="K3" s="2133"/>
      <c r="L3" s="2133"/>
      <c r="M3" s="2133"/>
      <c r="N3" s="443"/>
      <c r="O3" s="442"/>
      <c r="P3" s="442"/>
    </row>
    <row r="4" spans="1:16" ht="15.75" customHeight="1" thickBot="1">
      <c r="A4" s="253"/>
      <c r="B4" s="253"/>
      <c r="C4" s="2135"/>
      <c r="D4" s="2135"/>
      <c r="E4" s="2135"/>
      <c r="F4" s="444"/>
      <c r="G4" s="444"/>
      <c r="H4" s="444"/>
      <c r="I4" s="444"/>
      <c r="J4" s="444"/>
      <c r="K4" s="445"/>
      <c r="L4" s="445"/>
      <c r="M4" s="446"/>
      <c r="N4" s="446"/>
      <c r="O4" s="445"/>
      <c r="P4" s="445"/>
    </row>
    <row r="5" spans="1:16" ht="15.75" thickTop="1">
      <c r="A5" s="89"/>
      <c r="B5" s="89"/>
      <c r="C5" s="89"/>
      <c r="D5" s="89"/>
      <c r="E5" s="89"/>
      <c r="F5" s="89"/>
      <c r="G5" s="89"/>
      <c r="H5" s="89"/>
      <c r="I5" s="89"/>
      <c r="J5" s="89"/>
      <c r="K5" s="89"/>
      <c r="L5" s="89"/>
      <c r="M5" s="89"/>
      <c r="N5" s="89"/>
      <c r="O5" s="89"/>
      <c r="P5" s="89"/>
    </row>
    <row r="6" spans="1:16" ht="15.75">
      <c r="A6" s="2103"/>
      <c r="B6" s="1168"/>
      <c r="C6" s="1169"/>
      <c r="D6" s="1169"/>
      <c r="E6" s="1170"/>
      <c r="F6" s="1170"/>
      <c r="G6" s="1170"/>
      <c r="H6" s="1170"/>
      <c r="I6" s="1170"/>
      <c r="J6" s="1170"/>
      <c r="K6" s="1170"/>
      <c r="L6" s="1150"/>
      <c r="M6" s="1150"/>
      <c r="N6" s="1150"/>
      <c r="O6" s="1128"/>
      <c r="P6" s="210"/>
    </row>
    <row r="7" spans="1:16" ht="26.25">
      <c r="A7" s="2103"/>
      <c r="B7" s="1171"/>
      <c r="C7" s="504" t="s">
        <v>299</v>
      </c>
      <c r="D7" s="1172"/>
      <c r="E7" s="226"/>
      <c r="F7" s="226"/>
      <c r="G7" s="226"/>
      <c r="H7" s="226"/>
      <c r="I7" s="226"/>
      <c r="J7" s="226"/>
      <c r="K7" s="226"/>
      <c r="O7" s="1129"/>
      <c r="P7" s="210"/>
    </row>
    <row r="8" spans="1:16" ht="15.75">
      <c r="A8" s="2103"/>
      <c r="B8" s="1171"/>
      <c r="C8" s="1172"/>
      <c r="D8" s="1172"/>
      <c r="E8" s="226"/>
      <c r="F8" s="226"/>
      <c r="G8" s="226"/>
      <c r="H8" s="226"/>
      <c r="I8" s="226"/>
      <c r="J8" s="226"/>
      <c r="K8" s="226"/>
      <c r="O8" s="1129"/>
      <c r="P8" s="210"/>
    </row>
    <row r="9" spans="1:16" s="105" customFormat="1" ht="15.75">
      <c r="A9" s="2103"/>
      <c r="B9" s="1171"/>
      <c r="C9" s="224"/>
      <c r="D9" s="1172"/>
      <c r="E9" s="226"/>
      <c r="F9" s="226"/>
      <c r="G9" s="226"/>
      <c r="H9" s="226"/>
      <c r="I9" s="226"/>
      <c r="J9" s="226"/>
      <c r="K9" s="226"/>
      <c r="L9"/>
      <c r="M9"/>
      <c r="N9"/>
      <c r="O9" s="1129"/>
      <c r="P9" s="210"/>
    </row>
    <row r="10" spans="1:16" s="105" customFormat="1" ht="15.75">
      <c r="A10" s="2103"/>
      <c r="B10" s="1171"/>
      <c r="C10" s="248" t="s">
        <v>783</v>
      </c>
      <c r="D10" s="1172"/>
      <c r="E10" s="226"/>
      <c r="F10" s="226"/>
      <c r="G10" s="226"/>
      <c r="H10" s="226"/>
      <c r="I10" s="226"/>
      <c r="J10" s="226"/>
      <c r="K10" s="226"/>
      <c r="L10"/>
      <c r="M10"/>
      <c r="N10"/>
      <c r="O10" s="1129"/>
      <c r="P10" s="210"/>
    </row>
    <row r="11" spans="1:16" s="105" customFormat="1" ht="15.75">
      <c r="A11" s="2103"/>
      <c r="B11" s="1171"/>
      <c r="C11" s="248" t="s">
        <v>781</v>
      </c>
      <c r="D11" s="1172"/>
      <c r="E11" s="226"/>
      <c r="F11" s="226"/>
      <c r="G11" s="226"/>
      <c r="H11" s="226"/>
      <c r="I11" s="226"/>
      <c r="J11" s="226"/>
      <c r="K11" s="226"/>
      <c r="L11"/>
      <c r="M11"/>
      <c r="N11"/>
      <c r="O11" s="1129"/>
      <c r="P11" s="210"/>
    </row>
    <row r="12" spans="1:16" s="105" customFormat="1" ht="15.75">
      <c r="A12" s="2103"/>
      <c r="B12" s="1171"/>
      <c r="C12" s="248" t="s">
        <v>782</v>
      </c>
      <c r="D12" s="1172"/>
      <c r="E12" s="226"/>
      <c r="F12" s="226"/>
      <c r="G12" s="226"/>
      <c r="H12" s="226"/>
      <c r="I12" s="226"/>
      <c r="J12" s="226"/>
      <c r="K12" s="226"/>
      <c r="L12"/>
      <c r="M12"/>
      <c r="N12"/>
      <c r="O12" s="1129"/>
      <c r="P12" s="210"/>
    </row>
    <row r="13" spans="1:16" s="105" customFormat="1" ht="15.75" customHeight="1">
      <c r="A13" s="2103"/>
      <c r="B13" s="1171"/>
      <c r="C13" s="248"/>
      <c r="D13" s="1172"/>
      <c r="E13" s="226"/>
      <c r="F13" s="226"/>
      <c r="G13" s="226"/>
      <c r="H13" s="226"/>
      <c r="I13" s="226"/>
      <c r="J13" s="226"/>
      <c r="K13" s="226"/>
      <c r="L13"/>
      <c r="M13"/>
      <c r="N13"/>
      <c r="O13" s="1129"/>
      <c r="P13" s="210"/>
    </row>
    <row r="14" spans="1:16" s="105" customFormat="1" ht="15.75">
      <c r="A14" s="2103"/>
      <c r="B14" s="1171"/>
      <c r="C14" s="248" t="s">
        <v>796</v>
      </c>
      <c r="D14" s="1172"/>
      <c r="E14" s="226"/>
      <c r="F14" s="226"/>
      <c r="G14" s="226"/>
      <c r="H14" s="226"/>
      <c r="I14" s="226"/>
      <c r="J14" s="226"/>
      <c r="K14" s="226"/>
      <c r="L14"/>
      <c r="M14"/>
      <c r="N14"/>
      <c r="O14" s="1129"/>
      <c r="P14" s="210"/>
    </row>
    <row r="15" spans="1:16" s="105" customFormat="1" ht="15.75">
      <c r="A15" s="2103"/>
      <c r="B15" s="1171"/>
      <c r="C15" s="248"/>
      <c r="D15" s="1172"/>
      <c r="E15" s="226"/>
      <c r="F15" s="226"/>
      <c r="G15" s="226"/>
      <c r="H15" s="226"/>
      <c r="I15" s="226"/>
      <c r="J15" s="226"/>
      <c r="K15" s="226"/>
      <c r="O15" s="1295"/>
      <c r="P15" s="210"/>
    </row>
    <row r="16" spans="1:16" s="105" customFormat="1" ht="15.75">
      <c r="A16" s="2103"/>
      <c r="B16" s="1171"/>
      <c r="C16" s="832"/>
      <c r="D16" s="908"/>
      <c r="E16" s="236"/>
      <c r="F16" s="236"/>
      <c r="G16" s="236"/>
      <c r="H16" s="236"/>
      <c r="I16" s="236"/>
      <c r="J16" s="236"/>
      <c r="K16" s="1176"/>
      <c r="L16" s="1094"/>
      <c r="M16" s="1094"/>
      <c r="N16" s="1094"/>
      <c r="O16" s="1129"/>
      <c r="P16" s="210"/>
    </row>
    <row r="17" spans="1:16" s="105" customFormat="1" ht="15.75">
      <c r="A17" s="2103"/>
      <c r="B17" s="1171"/>
      <c r="C17" s="248"/>
      <c r="D17" s="1172"/>
      <c r="E17" s="226"/>
      <c r="F17" s="226"/>
      <c r="G17" s="226"/>
      <c r="H17" s="226"/>
      <c r="I17" s="226"/>
      <c r="J17" s="226"/>
      <c r="K17" s="226"/>
      <c r="L17"/>
      <c r="M17"/>
      <c r="N17"/>
      <c r="O17" s="1129"/>
      <c r="P17" s="210"/>
    </row>
    <row r="18" spans="1:16" s="105" customFormat="1" ht="15.75">
      <c r="A18" s="2103"/>
      <c r="B18" s="1171"/>
      <c r="C18" s="248"/>
      <c r="D18" s="1172"/>
      <c r="E18"/>
      <c r="F18" s="793" t="s">
        <v>792</v>
      </c>
      <c r="G18" s="226"/>
      <c r="H18" s="226"/>
      <c r="I18" s="226"/>
      <c r="J18" s="226"/>
      <c r="K18" s="226"/>
      <c r="L18"/>
      <c r="M18"/>
      <c r="N18"/>
      <c r="O18" s="1129"/>
      <c r="P18" s="210"/>
    </row>
    <row r="19" spans="1:16" s="105" customFormat="1" ht="15.75">
      <c r="A19" s="2103"/>
      <c r="B19" s="1171"/>
      <c r="C19" s="248"/>
      <c r="D19" s="1172"/>
      <c r="E19"/>
      <c r="F19" s="248" t="s">
        <v>789</v>
      </c>
      <c r="G19" s="226"/>
      <c r="H19" s="226"/>
      <c r="I19" s="226"/>
      <c r="J19" s="226"/>
      <c r="K19" s="226"/>
      <c r="L19"/>
      <c r="M19"/>
      <c r="N19"/>
      <c r="O19" s="1129"/>
      <c r="P19" s="210"/>
    </row>
    <row r="20" spans="1:16" s="105" customFormat="1" ht="15.75">
      <c r="A20" s="2103"/>
      <c r="B20" s="1171"/>
      <c r="C20" s="248"/>
      <c r="D20" s="1172"/>
      <c r="E20"/>
      <c r="F20" s="226" t="s">
        <v>880</v>
      </c>
      <c r="G20" s="226"/>
      <c r="H20" s="226"/>
      <c r="I20" s="226"/>
      <c r="J20" s="226"/>
      <c r="K20" s="226"/>
      <c r="L20"/>
      <c r="M20"/>
      <c r="N20"/>
      <c r="O20" s="1129"/>
      <c r="P20" s="210"/>
    </row>
    <row r="21" spans="1:16" s="105" customFormat="1" ht="15.75">
      <c r="A21" s="2103"/>
      <c r="B21" s="1171"/>
      <c r="C21" s="248"/>
      <c r="D21" s="1172"/>
      <c r="E21"/>
      <c r="F21" s="226" t="s">
        <v>881</v>
      </c>
      <c r="G21" s="226"/>
      <c r="H21" s="226"/>
      <c r="I21" s="226"/>
      <c r="J21" s="226"/>
      <c r="K21" s="226"/>
      <c r="L21"/>
      <c r="M21"/>
      <c r="N21"/>
      <c r="O21" s="1129"/>
      <c r="P21" s="210"/>
    </row>
    <row r="22" spans="1:16" s="105" customFormat="1" ht="15.75">
      <c r="A22" s="2103"/>
      <c r="B22" s="1171"/>
      <c r="C22" s="248"/>
      <c r="D22" s="1172"/>
      <c r="E22"/>
      <c r="F22" s="226" t="s">
        <v>882</v>
      </c>
      <c r="G22" s="226"/>
      <c r="H22" s="226"/>
      <c r="I22" s="226"/>
      <c r="J22" s="226"/>
      <c r="K22" s="226"/>
      <c r="L22"/>
      <c r="M22"/>
      <c r="N22"/>
      <c r="O22" s="1129"/>
      <c r="P22" s="210"/>
    </row>
    <row r="23" spans="1:16" s="105" customFormat="1" ht="15.75">
      <c r="A23" s="2103"/>
      <c r="B23" s="1171"/>
      <c r="C23" s="248"/>
      <c r="D23" s="1172"/>
      <c r="E23"/>
      <c r="F23"/>
      <c r="G23" s="226"/>
      <c r="H23" s="226"/>
      <c r="I23" s="226"/>
      <c r="J23" s="226"/>
      <c r="K23" s="226"/>
      <c r="L23"/>
      <c r="M23"/>
      <c r="N23"/>
      <c r="O23" s="1129"/>
      <c r="P23" s="210"/>
    </row>
    <row r="24" spans="1:16" s="105" customFormat="1" ht="15.75">
      <c r="A24" s="2103"/>
      <c r="B24" s="1171"/>
      <c r="C24" s="248"/>
      <c r="D24" s="1172"/>
      <c r="E24"/>
      <c r="F24" s="226" t="s">
        <v>798</v>
      </c>
      <c r="G24" s="226"/>
      <c r="H24" s="226"/>
      <c r="I24" s="226"/>
      <c r="J24" s="226"/>
      <c r="K24" s="226"/>
      <c r="L24"/>
      <c r="M24"/>
      <c r="N24"/>
      <c r="O24" s="1129"/>
      <c r="P24" s="210"/>
    </row>
    <row r="25" spans="1:16" s="105" customFormat="1" ht="15.75">
      <c r="A25" s="2103"/>
      <c r="B25" s="1171"/>
      <c r="C25" s="248"/>
      <c r="D25" s="1172"/>
      <c r="E25"/>
      <c r="F25" s="226" t="s">
        <v>799</v>
      </c>
      <c r="G25" s="226"/>
      <c r="H25" s="226"/>
      <c r="I25" s="226"/>
      <c r="J25" s="226"/>
      <c r="K25" s="226"/>
      <c r="L25"/>
      <c r="M25"/>
      <c r="N25"/>
      <c r="O25" s="1129"/>
      <c r="P25" s="210"/>
    </row>
    <row r="26" spans="1:16" s="105" customFormat="1" ht="15.75">
      <c r="A26" s="2103"/>
      <c r="B26" s="1171"/>
      <c r="C26" s="248"/>
      <c r="D26" s="1172"/>
      <c r="E26"/>
      <c r="F26" s="226"/>
      <c r="G26" s="226"/>
      <c r="H26" s="226"/>
      <c r="I26" s="226"/>
      <c r="J26" s="226"/>
      <c r="K26" s="226"/>
      <c r="L26"/>
      <c r="M26"/>
      <c r="N26"/>
      <c r="O26" s="1129"/>
      <c r="P26" s="210"/>
    </row>
    <row r="27" spans="1:16" s="105" customFormat="1" ht="18.75" customHeight="1">
      <c r="A27" s="2103"/>
      <c r="B27" s="1171"/>
      <c r="C27" s="248"/>
      <c r="D27" s="1172"/>
      <c r="E27"/>
      <c r="F27" s="229" t="s">
        <v>933</v>
      </c>
      <c r="G27" s="1222" t="s">
        <v>935</v>
      </c>
      <c r="H27" s="233" t="s">
        <v>941</v>
      </c>
      <c r="I27" s="233" t="s">
        <v>936</v>
      </c>
      <c r="J27" s="226"/>
      <c r="K27" s="226"/>
      <c r="L27"/>
      <c r="M27"/>
      <c r="N27"/>
      <c r="O27" s="1129"/>
      <c r="P27" s="210"/>
    </row>
    <row r="28" spans="1:16" s="105" customFormat="1" ht="15.75">
      <c r="A28" s="2103"/>
      <c r="B28" s="1171"/>
      <c r="C28" s="248"/>
      <c r="D28" s="1172"/>
      <c r="E28"/>
      <c r="F28"/>
      <c r="G28" s="1225">
        <v>1</v>
      </c>
      <c r="H28" s="1223">
        <f>G28/3</f>
        <v>0.33333333333333331</v>
      </c>
      <c r="I28" s="1223">
        <f>G28/2</f>
        <v>0.5</v>
      </c>
      <c r="J28" s="226"/>
      <c r="K28" s="226"/>
      <c r="L28"/>
      <c r="M28"/>
      <c r="N28"/>
      <c r="O28" s="1129"/>
      <c r="P28" s="210"/>
    </row>
    <row r="29" spans="1:16" s="105" customFormat="1" ht="15.75">
      <c r="A29" s="2103"/>
      <c r="B29" s="1171"/>
      <c r="C29" s="832"/>
      <c r="D29" s="1188"/>
      <c r="E29" s="1094"/>
      <c r="F29" s="1176"/>
      <c r="G29" s="1176"/>
      <c r="H29" s="1176"/>
      <c r="I29" s="1176"/>
      <c r="J29" s="1176"/>
      <c r="K29" s="1176"/>
      <c r="L29" s="1094"/>
      <c r="M29" s="1094"/>
      <c r="N29" s="1094"/>
      <c r="O29" s="1129"/>
      <c r="P29" s="210"/>
    </row>
    <row r="30" spans="1:16" s="105" customFormat="1" ht="15.75">
      <c r="A30" s="2103"/>
      <c r="B30" s="1171"/>
      <c r="C30" s="248"/>
      <c r="D30" s="1172"/>
      <c r="E30"/>
      <c r="F30" s="226"/>
      <c r="G30" s="226"/>
      <c r="H30" s="226"/>
      <c r="I30" s="226"/>
      <c r="J30" s="226"/>
      <c r="K30" s="226"/>
      <c r="L30"/>
      <c r="M30"/>
      <c r="N30"/>
      <c r="O30" s="1129"/>
      <c r="P30" s="210"/>
    </row>
    <row r="31" spans="1:16" s="105" customFormat="1" ht="15.75">
      <c r="A31" s="2103"/>
      <c r="B31" s="1171"/>
      <c r="C31" s="248"/>
      <c r="D31" s="1172"/>
      <c r="E31"/>
      <c r="F31" s="241" t="s">
        <v>790</v>
      </c>
      <c r="G31" s="226"/>
      <c r="H31" s="226"/>
      <c r="I31" s="226"/>
      <c r="J31" s="226"/>
      <c r="K31" s="226"/>
      <c r="L31"/>
      <c r="M31"/>
      <c r="N31"/>
      <c r="O31" s="1129"/>
      <c r="P31" s="210"/>
    </row>
    <row r="32" spans="1:16" s="105" customFormat="1" ht="15.75">
      <c r="A32" s="2103"/>
      <c r="B32" s="1171"/>
      <c r="C32" s="248"/>
      <c r="D32" s="1172"/>
      <c r="E32"/>
      <c r="F32" s="248" t="s">
        <v>802</v>
      </c>
      <c r="G32" s="226"/>
      <c r="H32" s="226"/>
      <c r="I32" s="226"/>
      <c r="J32" s="226"/>
      <c r="K32" s="226"/>
      <c r="L32"/>
      <c r="M32"/>
      <c r="N32"/>
      <c r="O32" s="1129"/>
      <c r="P32" s="210"/>
    </row>
    <row r="33" spans="1:16" s="105" customFormat="1" ht="15.75">
      <c r="A33" s="2103"/>
      <c r="B33" s="1171"/>
      <c r="C33" s="248"/>
      <c r="D33" s="1172"/>
      <c r="E33"/>
      <c r="F33" s="248" t="s">
        <v>804</v>
      </c>
      <c r="G33" s="226"/>
      <c r="H33" s="226"/>
      <c r="I33" s="226"/>
      <c r="J33" s="226"/>
      <c r="K33" s="226"/>
      <c r="L33"/>
      <c r="M33"/>
      <c r="N33"/>
      <c r="O33" s="1129"/>
      <c r="P33" s="210"/>
    </row>
    <row r="34" spans="1:16" s="105" customFormat="1" ht="15.75">
      <c r="A34" s="2103"/>
      <c r="B34" s="1171"/>
      <c r="C34" s="248"/>
      <c r="D34" s="1172"/>
      <c r="E34"/>
      <c r="F34" s="248" t="s">
        <v>803</v>
      </c>
      <c r="G34" s="226"/>
      <c r="H34" s="226"/>
      <c r="I34" s="226"/>
      <c r="J34" s="226"/>
      <c r="K34" s="226"/>
      <c r="L34"/>
      <c r="M34"/>
      <c r="N34"/>
      <c r="O34" s="1129"/>
      <c r="P34" s="210"/>
    </row>
    <row r="35" spans="1:16" s="105" customFormat="1" ht="15.75">
      <c r="A35" s="2103"/>
      <c r="B35" s="1171"/>
      <c r="C35" s="248"/>
      <c r="D35" s="1172"/>
      <c r="E35"/>
      <c r="F35" s="226"/>
      <c r="G35" s="226"/>
      <c r="H35" s="226"/>
      <c r="I35" s="226"/>
      <c r="J35" s="226"/>
      <c r="K35" s="226"/>
      <c r="L35"/>
      <c r="M35"/>
      <c r="N35"/>
      <c r="O35" s="1129"/>
      <c r="P35" s="210"/>
    </row>
    <row r="36" spans="1:16" s="105" customFormat="1" ht="18.75" customHeight="1">
      <c r="A36" s="2103"/>
      <c r="B36" s="1171"/>
      <c r="C36" s="248"/>
      <c r="D36" s="1172"/>
      <c r="E36"/>
      <c r="F36" s="248" t="s">
        <v>793</v>
      </c>
      <c r="G36" s="226"/>
      <c r="H36" s="226"/>
      <c r="I36" s="226"/>
      <c r="J36" s="226"/>
      <c r="K36" s="226"/>
      <c r="L36"/>
      <c r="M36"/>
      <c r="N36"/>
      <c r="O36" s="1129"/>
      <c r="P36" s="210"/>
    </row>
    <row r="37" spans="1:16" s="105" customFormat="1" ht="18.75" customHeight="1">
      <c r="A37" s="2103"/>
      <c r="B37" s="1171"/>
      <c r="C37" s="248"/>
      <c r="D37" s="1172"/>
      <c r="E37"/>
      <c r="F37" s="248" t="s">
        <v>794</v>
      </c>
      <c r="G37" s="226"/>
      <c r="H37" s="226"/>
      <c r="I37" s="226"/>
      <c r="J37" s="226"/>
      <c r="K37" s="226"/>
      <c r="L37"/>
      <c r="M37"/>
      <c r="N37"/>
      <c r="O37" s="1129"/>
      <c r="P37" s="210"/>
    </row>
    <row r="38" spans="1:16" s="105" customFormat="1" ht="15.75">
      <c r="A38" s="2103"/>
      <c r="B38" s="1171"/>
      <c r="C38" s="248"/>
      <c r="D38" s="1172"/>
      <c r="E38"/>
      <c r="F38" s="226" t="s">
        <v>795</v>
      </c>
      <c r="G38" s="226"/>
      <c r="H38" s="226"/>
      <c r="I38" s="226"/>
      <c r="J38" s="226"/>
      <c r="K38" s="226"/>
      <c r="L38"/>
      <c r="M38"/>
      <c r="N38"/>
      <c r="O38" s="1129"/>
      <c r="P38" s="210"/>
    </row>
    <row r="39" spans="1:16" s="105" customFormat="1" ht="15.75">
      <c r="A39" s="2103"/>
      <c r="B39" s="1171"/>
      <c r="C39" s="248"/>
      <c r="D39" s="1172"/>
      <c r="E39"/>
      <c r="F39" s="226"/>
      <c r="G39" s="226"/>
      <c r="H39" s="226"/>
      <c r="I39" s="226"/>
      <c r="J39" s="226"/>
      <c r="K39" s="226"/>
      <c r="L39"/>
      <c r="M39"/>
      <c r="N39"/>
      <c r="O39" s="1129"/>
      <c r="P39" s="210"/>
    </row>
    <row r="40" spans="1:16" s="105" customFormat="1" ht="15.75">
      <c r="A40" s="2103"/>
      <c r="B40" s="1171"/>
      <c r="C40" s="248"/>
      <c r="D40" s="1172"/>
      <c r="E40"/>
      <c r="F40" s="229" t="s">
        <v>933</v>
      </c>
      <c r="G40" s="1222" t="s">
        <v>934</v>
      </c>
      <c r="H40" s="233" t="s">
        <v>940</v>
      </c>
      <c r="I40" s="233" t="s">
        <v>936</v>
      </c>
      <c r="J40" s="226"/>
      <c r="K40" s="226"/>
      <c r="L40"/>
      <c r="M40"/>
      <c r="N40"/>
      <c r="O40" s="1129"/>
      <c r="P40" s="210"/>
    </row>
    <row r="41" spans="1:16" s="105" customFormat="1" ht="15.75">
      <c r="A41" s="2103"/>
      <c r="B41" s="1171"/>
      <c r="C41" s="248"/>
      <c r="D41" s="1172"/>
      <c r="E41"/>
      <c r="F41"/>
      <c r="G41" s="1225">
        <v>1</v>
      </c>
      <c r="H41" s="1224">
        <f>G41*3</f>
        <v>3</v>
      </c>
      <c r="I41" s="1223">
        <f>G41*1.5</f>
        <v>1.5</v>
      </c>
      <c r="J41" s="226"/>
      <c r="K41" s="226"/>
      <c r="L41"/>
      <c r="M41"/>
      <c r="N41"/>
      <c r="O41" s="1129"/>
      <c r="P41" s="210"/>
    </row>
    <row r="42" spans="1:16" s="105" customFormat="1" ht="15.75">
      <c r="A42" s="2103"/>
      <c r="B42" s="1171"/>
      <c r="C42" s="832"/>
      <c r="D42" s="908"/>
      <c r="E42" s="1094"/>
      <c r="F42" s="1176"/>
      <c r="G42" s="236"/>
      <c r="H42" s="236"/>
      <c r="I42" s="236"/>
      <c r="J42" s="236"/>
      <c r="K42" s="1176"/>
      <c r="L42" s="1094"/>
      <c r="M42" s="1094"/>
      <c r="N42" s="1094"/>
      <c r="O42" s="1129"/>
      <c r="P42" s="210"/>
    </row>
    <row r="43" spans="1:16" s="105" customFormat="1" ht="15.75">
      <c r="A43" s="2103"/>
      <c r="B43" s="1171"/>
      <c r="C43" s="248"/>
      <c r="D43" s="1172"/>
      <c r="E43"/>
      <c r="F43" s="226"/>
      <c r="G43" s="226"/>
      <c r="H43" s="226"/>
      <c r="I43" s="226"/>
      <c r="J43" s="226"/>
      <c r="K43" s="226"/>
      <c r="L43"/>
      <c r="M43"/>
      <c r="N43"/>
      <c r="O43" s="1129"/>
      <c r="P43" s="210"/>
    </row>
    <row r="44" spans="1:16" s="105" customFormat="1" ht="15.75">
      <c r="A44" s="2103"/>
      <c r="B44" s="1171"/>
      <c r="C44" s="248"/>
      <c r="D44" s="1172"/>
      <c r="E44"/>
      <c r="F44" s="241" t="s">
        <v>791</v>
      </c>
      <c r="G44" s="226"/>
      <c r="H44" s="226"/>
      <c r="I44" s="226"/>
      <c r="J44" s="226"/>
      <c r="K44" s="226"/>
      <c r="L44"/>
      <c r="M44"/>
      <c r="N44"/>
      <c r="O44" s="1129"/>
      <c r="P44" s="210"/>
    </row>
    <row r="45" spans="1:16" s="105" customFormat="1" ht="15.75">
      <c r="A45" s="2103"/>
      <c r="B45" s="1171"/>
      <c r="C45" s="248"/>
      <c r="D45" s="1172"/>
      <c r="E45"/>
      <c r="F45" t="s">
        <v>939</v>
      </c>
      <c r="G45" s="226"/>
      <c r="H45" s="226"/>
      <c r="I45" s="226"/>
      <c r="J45" s="226"/>
      <c r="K45" s="226"/>
      <c r="L45"/>
      <c r="M45"/>
      <c r="N45"/>
      <c r="O45" s="1129"/>
      <c r="P45" s="210"/>
    </row>
    <row r="46" spans="1:16" s="105" customFormat="1" ht="15.75">
      <c r="A46" s="2103"/>
      <c r="B46" s="1171"/>
      <c r="C46" s="248"/>
      <c r="D46" s="1172"/>
      <c r="E46"/>
      <c r="F46" s="248" t="s">
        <v>937</v>
      </c>
      <c r="G46" s="226"/>
      <c r="H46" s="226"/>
      <c r="I46" s="226"/>
      <c r="J46" s="226"/>
      <c r="K46" s="226"/>
      <c r="L46"/>
      <c r="M46"/>
      <c r="N46"/>
      <c r="O46" s="1129"/>
      <c r="P46" s="210"/>
    </row>
    <row r="47" spans="1:16" s="105" customFormat="1" ht="15.75">
      <c r="A47" s="2103"/>
      <c r="B47" s="1171"/>
      <c r="C47" s="248"/>
      <c r="D47" s="1172"/>
      <c r="E47"/>
      <c r="F47" s="248" t="s">
        <v>938</v>
      </c>
      <c r="G47" s="226"/>
      <c r="H47" s="226"/>
      <c r="I47" s="226"/>
      <c r="J47" s="226"/>
      <c r="K47" s="226"/>
      <c r="L47"/>
      <c r="M47"/>
      <c r="N47"/>
      <c r="O47" s="1129"/>
      <c r="P47" s="210"/>
    </row>
    <row r="48" spans="1:16" s="105" customFormat="1" ht="15.75">
      <c r="A48" s="2103"/>
      <c r="B48" s="1171"/>
      <c r="C48" s="248"/>
      <c r="D48" s="1172"/>
      <c r="E48"/>
      <c r="F48" s="248" t="s">
        <v>787</v>
      </c>
      <c r="G48" s="226"/>
      <c r="H48" s="226"/>
      <c r="I48" s="226"/>
      <c r="J48" s="226"/>
      <c r="K48" s="226"/>
      <c r="L48"/>
      <c r="M48"/>
      <c r="N48"/>
      <c r="O48" s="1129"/>
      <c r="P48" s="210"/>
    </row>
    <row r="49" spans="1:16" s="105" customFormat="1" ht="15.75">
      <c r="A49" s="2103"/>
      <c r="B49" s="1171"/>
      <c r="C49" s="248"/>
      <c r="D49" s="1172"/>
      <c r="E49"/>
      <c r="F49" s="226"/>
      <c r="G49" s="226"/>
      <c r="H49" s="226"/>
      <c r="I49" s="226"/>
      <c r="J49" s="226"/>
      <c r="K49" s="226"/>
      <c r="L49"/>
      <c r="M49"/>
      <c r="N49"/>
      <c r="O49" s="1129"/>
      <c r="P49" s="210"/>
    </row>
    <row r="50" spans="1:16" s="105" customFormat="1" ht="15.75">
      <c r="A50" s="2103"/>
      <c r="B50" s="1171"/>
      <c r="C50" s="248"/>
      <c r="D50" s="1172"/>
      <c r="E50"/>
      <c r="F50" s="229" t="s">
        <v>933</v>
      </c>
      <c r="G50" s="233" t="s">
        <v>936</v>
      </c>
      <c r="H50" s="233" t="s">
        <v>934</v>
      </c>
      <c r="I50" s="233" t="s">
        <v>935</v>
      </c>
      <c r="J50" s="226"/>
      <c r="K50" s="226"/>
      <c r="L50"/>
      <c r="M50"/>
      <c r="N50"/>
      <c r="O50" s="1129"/>
      <c r="P50" s="210"/>
    </row>
    <row r="51" spans="1:16" s="105" customFormat="1" ht="15.75">
      <c r="A51" s="2103"/>
      <c r="B51" s="1171"/>
      <c r="C51" s="248"/>
      <c r="D51" s="1172"/>
      <c r="E51"/>
      <c r="F51"/>
      <c r="G51" s="1225">
        <v>1.5</v>
      </c>
      <c r="H51" s="1223">
        <f>G51/1.5</f>
        <v>1</v>
      </c>
      <c r="I51" s="1224">
        <f>G51*2</f>
        <v>3</v>
      </c>
      <c r="J51" s="226"/>
      <c r="K51" s="226"/>
      <c r="L51"/>
      <c r="M51"/>
      <c r="N51"/>
      <c r="O51" s="1129"/>
      <c r="P51" s="210"/>
    </row>
    <row r="52" spans="1:16" s="105" customFormat="1" ht="15.75">
      <c r="A52" s="2103"/>
      <c r="B52" s="1171"/>
      <c r="C52" s="832"/>
      <c r="D52" s="908"/>
      <c r="E52" s="1094"/>
      <c r="F52" s="1176"/>
      <c r="G52" s="236"/>
      <c r="H52" s="236"/>
      <c r="I52" s="236"/>
      <c r="J52" s="236"/>
      <c r="K52" s="1176"/>
      <c r="L52" s="1094"/>
      <c r="M52" s="1094"/>
      <c r="N52" s="1094"/>
      <c r="O52" s="1129"/>
      <c r="P52" s="210"/>
    </row>
    <row r="53" spans="1:16" s="105" customFormat="1" ht="15.75">
      <c r="A53" s="2103"/>
      <c r="B53" s="1171"/>
      <c r="C53" s="248"/>
      <c r="D53" s="1172"/>
      <c r="E53" s="226"/>
      <c r="F53" s="226"/>
      <c r="G53" s="226"/>
      <c r="H53" s="226"/>
      <c r="I53" s="226"/>
      <c r="J53" s="226"/>
      <c r="K53" s="226"/>
      <c r="L53"/>
      <c r="M53"/>
      <c r="N53"/>
      <c r="O53" s="1129"/>
      <c r="P53" s="210"/>
    </row>
    <row r="54" spans="1:16" s="105" customFormat="1" ht="15.75">
      <c r="A54" s="2103"/>
      <c r="B54" s="1171"/>
      <c r="C54" s="226"/>
      <c r="D54" s="226"/>
      <c r="E54" s="226"/>
      <c r="F54" s="226"/>
      <c r="G54" s="226"/>
      <c r="H54" s="226"/>
      <c r="I54" s="226"/>
      <c r="J54" s="226"/>
      <c r="K54" s="226"/>
      <c r="L54"/>
      <c r="M54"/>
      <c r="N54"/>
      <c r="O54" s="1129"/>
      <c r="P54" s="210"/>
    </row>
    <row r="55" spans="1:16" s="105" customFormat="1" ht="15.75">
      <c r="A55" s="2103"/>
      <c r="B55" s="1171"/>
      <c r="C55" s="890" t="s">
        <v>772</v>
      </c>
      <c r="D55" s="1189"/>
      <c r="E55" s="891" t="s">
        <v>510</v>
      </c>
      <c r="F55" s="891" t="s">
        <v>786</v>
      </c>
      <c r="G55" s="1190"/>
      <c r="H55" s="2142"/>
      <c r="I55" s="2142"/>
      <c r="J55" s="2142"/>
      <c r="K55" s="1190"/>
      <c r="L55"/>
      <c r="M55"/>
      <c r="N55"/>
      <c r="O55" s="1129"/>
      <c r="P55" s="210"/>
    </row>
    <row r="56" spans="1:16" s="105" customFormat="1" ht="15.75">
      <c r="A56" s="2103"/>
      <c r="B56" s="1171"/>
      <c r="C56" s="226" t="s">
        <v>779</v>
      </c>
      <c r="D56"/>
      <c r="E56" s="227" t="s">
        <v>777</v>
      </c>
      <c r="F56" s="243" t="s">
        <v>784</v>
      </c>
      <c r="G56" s="1067"/>
      <c r="H56" s="226"/>
      <c r="I56" s="226"/>
      <c r="J56" s="226"/>
      <c r="K56" s="226"/>
      <c r="L56"/>
      <c r="M56"/>
      <c r="N56"/>
      <c r="O56" s="1129"/>
      <c r="P56" s="210"/>
    </row>
    <row r="57" spans="1:16" s="105" customFormat="1" ht="15.75">
      <c r="A57" s="2103"/>
      <c r="B57" s="1171"/>
      <c r="C57" s="1198" t="s">
        <v>774</v>
      </c>
      <c r="D57" s="107"/>
      <c r="E57" s="1199" t="s">
        <v>780</v>
      </c>
      <c r="F57" s="1200" t="s">
        <v>784</v>
      </c>
      <c r="G57" s="1201" t="s">
        <v>884</v>
      </c>
      <c r="H57" s="1198"/>
      <c r="I57" s="1198"/>
      <c r="J57" s="1198"/>
      <c r="K57" s="1198"/>
      <c r="L57"/>
      <c r="M57"/>
      <c r="N57"/>
      <c r="O57" s="1129"/>
      <c r="P57" s="210"/>
    </row>
    <row r="58" spans="1:16" s="105" customFormat="1" ht="15.75">
      <c r="A58" s="2103"/>
      <c r="B58" s="1171"/>
      <c r="C58" s="226" t="s">
        <v>775</v>
      </c>
      <c r="D58"/>
      <c r="E58" s="227" t="s">
        <v>780</v>
      </c>
      <c r="F58" s="243" t="s">
        <v>785</v>
      </c>
      <c r="G58" s="1067" t="s">
        <v>887</v>
      </c>
      <c r="H58" s="226"/>
      <c r="I58" s="226"/>
      <c r="J58" s="226"/>
      <c r="K58" s="226"/>
      <c r="L58"/>
      <c r="M58"/>
      <c r="N58"/>
      <c r="O58" s="1129"/>
      <c r="P58" s="210"/>
    </row>
    <row r="59" spans="1:16" s="105" customFormat="1" ht="15.75">
      <c r="A59" s="2103"/>
      <c r="B59" s="1171"/>
      <c r="C59" s="1198" t="s">
        <v>778</v>
      </c>
      <c r="D59" s="107"/>
      <c r="E59" s="1199" t="s">
        <v>780</v>
      </c>
      <c r="F59" s="1200" t="s">
        <v>785</v>
      </c>
      <c r="G59" s="1201" t="s">
        <v>886</v>
      </c>
      <c r="H59" s="1198"/>
      <c r="I59" s="1198"/>
      <c r="J59" s="1198"/>
      <c r="K59" s="1198"/>
      <c r="L59"/>
      <c r="M59"/>
      <c r="N59"/>
      <c r="O59" s="1129"/>
      <c r="P59" s="210"/>
    </row>
    <row r="60" spans="1:16" s="105" customFormat="1" ht="15.75">
      <c r="A60" s="2103"/>
      <c r="B60" s="1171"/>
      <c r="C60" s="226" t="s">
        <v>773</v>
      </c>
      <c r="D60"/>
      <c r="E60" s="227" t="s">
        <v>780</v>
      </c>
      <c r="F60" s="243" t="s">
        <v>785</v>
      </c>
      <c r="G60" s="1067"/>
      <c r="H60" s="226"/>
      <c r="I60" s="226"/>
      <c r="J60" s="226"/>
      <c r="K60" s="226"/>
      <c r="L60"/>
      <c r="M60"/>
      <c r="N60"/>
      <c r="O60" s="1129"/>
      <c r="P60" s="210"/>
    </row>
    <row r="61" spans="1:16" s="105" customFormat="1" ht="15.75">
      <c r="A61" s="2103"/>
      <c r="B61" s="1171"/>
      <c r="C61" s="1198" t="s">
        <v>883</v>
      </c>
      <c r="D61" s="107"/>
      <c r="E61" s="1199" t="s">
        <v>780</v>
      </c>
      <c r="F61" s="1200" t="s">
        <v>784</v>
      </c>
      <c r="G61" s="1201" t="s">
        <v>885</v>
      </c>
      <c r="H61" s="1198"/>
      <c r="I61" s="1198"/>
      <c r="J61" s="1198"/>
      <c r="K61" s="1198"/>
      <c r="L61"/>
      <c r="M61"/>
      <c r="N61"/>
      <c r="O61" s="1129"/>
      <c r="P61" s="210"/>
    </row>
    <row r="62" spans="1:16" s="105" customFormat="1" ht="15.75">
      <c r="A62" s="2103"/>
      <c r="B62" s="1171"/>
      <c r="C62" s="226" t="s">
        <v>776</v>
      </c>
      <c r="D62"/>
      <c r="E62" s="227" t="s">
        <v>780</v>
      </c>
      <c r="F62" s="243" t="s">
        <v>784</v>
      </c>
      <c r="G62" s="1067"/>
      <c r="H62" s="226"/>
      <c r="I62" s="226"/>
      <c r="J62" s="226"/>
      <c r="K62" s="226"/>
      <c r="L62"/>
      <c r="M62"/>
      <c r="N62"/>
      <c r="O62" s="1129"/>
      <c r="P62" s="210"/>
    </row>
    <row r="63" spans="1:16" s="105" customFormat="1" ht="15.75">
      <c r="A63" s="2103"/>
      <c r="B63" s="1171"/>
      <c r="C63" s="226"/>
      <c r="D63" s="226"/>
      <c r="E63" s="226"/>
      <c r="F63" s="226"/>
      <c r="G63" s="226"/>
      <c r="H63" s="226"/>
      <c r="I63" s="226"/>
      <c r="J63" s="226"/>
      <c r="K63" s="226"/>
      <c r="L63"/>
      <c r="M63"/>
      <c r="N63"/>
      <c r="O63" s="1129"/>
      <c r="P63" s="210"/>
    </row>
    <row r="64" spans="1:16" s="105" customFormat="1" ht="15.75">
      <c r="A64" s="2103"/>
      <c r="B64" s="1171"/>
      <c r="C64" s="507" t="s">
        <v>889</v>
      </c>
      <c r="D64" s="226"/>
      <c r="E64" s="226"/>
      <c r="F64" s="226"/>
      <c r="G64" s="226"/>
      <c r="H64" s="226"/>
      <c r="I64" s="226"/>
      <c r="J64" s="226"/>
      <c r="K64" s="226"/>
      <c r="L64"/>
      <c r="M64"/>
      <c r="N64"/>
      <c r="O64" s="1129"/>
      <c r="P64" s="210"/>
    </row>
    <row r="65" spans="1:16" s="105" customFormat="1" ht="34.5" customHeight="1">
      <c r="A65" s="2103"/>
      <c r="B65" s="1171"/>
      <c r="C65" s="226"/>
      <c r="D65" s="226"/>
      <c r="E65" s="226"/>
      <c r="F65" s="226"/>
      <c r="G65" s="226"/>
      <c r="H65" s="226"/>
      <c r="I65" s="226"/>
      <c r="J65" s="226"/>
      <c r="K65" s="226"/>
      <c r="L65"/>
      <c r="M65"/>
      <c r="N65"/>
      <c r="O65" s="1129"/>
      <c r="P65" s="210"/>
    </row>
    <row r="66" spans="1:16" s="105" customFormat="1" ht="15.75">
      <c r="A66" s="2103"/>
      <c r="B66" s="1171"/>
      <c r="C66" s="1173" t="s">
        <v>888</v>
      </c>
      <c r="D66" s="1173"/>
      <c r="E66" s="1173"/>
      <c r="F66" s="1173"/>
      <c r="G66" s="1173"/>
      <c r="H66" s="1173"/>
      <c r="I66" s="1173"/>
      <c r="J66" s="226"/>
      <c r="K66" s="226"/>
      <c r="L66"/>
      <c r="M66"/>
      <c r="N66"/>
      <c r="O66" s="1129"/>
      <c r="P66" s="210"/>
    </row>
    <row r="67" spans="1:16" s="105" customFormat="1" ht="15.75">
      <c r="A67" s="2103"/>
      <c r="B67" s="1171"/>
      <c r="C67" s="1173"/>
      <c r="D67" s="1173"/>
      <c r="E67" s="1173"/>
      <c r="F67" s="1173"/>
      <c r="G67" s="1173"/>
      <c r="H67" s="1173"/>
      <c r="I67" s="1173"/>
      <c r="J67" s="226"/>
      <c r="K67" s="226"/>
      <c r="L67"/>
      <c r="M67"/>
      <c r="N67"/>
      <c r="O67" s="1129"/>
      <c r="P67" s="210"/>
    </row>
    <row r="68" spans="1:16" s="105" customFormat="1" ht="15.75">
      <c r="A68" s="2103"/>
      <c r="B68" s="1171"/>
      <c r="C68" s="2143" t="s">
        <v>548</v>
      </c>
      <c r="D68" s="2143"/>
      <c r="E68" s="1196" t="s">
        <v>549</v>
      </c>
      <c r="F68" s="1193" t="s">
        <v>788</v>
      </c>
      <c r="G68"/>
      <c r="H68" s="1192"/>
      <c r="I68" s="1173"/>
      <c r="J68" s="226"/>
      <c r="K68" s="226"/>
      <c r="L68"/>
      <c r="M68"/>
      <c r="N68"/>
      <c r="O68" s="1129"/>
      <c r="P68" s="210"/>
    </row>
    <row r="69" spans="1:16" s="105" customFormat="1" ht="15.75">
      <c r="A69" s="2103"/>
      <c r="B69" s="1171"/>
      <c r="C69" s="2144" t="s">
        <v>550</v>
      </c>
      <c r="D69" s="2144"/>
      <c r="E69" s="1197" t="s">
        <v>558</v>
      </c>
      <c r="F69" s="1194" t="s">
        <v>542</v>
      </c>
      <c r="G69"/>
      <c r="H69" s="1191"/>
      <c r="I69" s="1173"/>
      <c r="J69" s="226"/>
      <c r="K69" s="226"/>
      <c r="L69"/>
      <c r="M69"/>
      <c r="N69"/>
      <c r="O69" s="1129"/>
      <c r="P69" s="210"/>
    </row>
    <row r="70" spans="1:16" s="105" customFormat="1" ht="15.75">
      <c r="A70" s="2103"/>
      <c r="B70" s="1171"/>
      <c r="C70" s="2144" t="s">
        <v>550</v>
      </c>
      <c r="D70" s="2144"/>
      <c r="E70" s="1197" t="s">
        <v>552</v>
      </c>
      <c r="F70" s="1194" t="s">
        <v>543</v>
      </c>
      <c r="G70"/>
      <c r="H70" s="1191"/>
      <c r="I70" s="1173"/>
      <c r="J70" s="226"/>
      <c r="K70" s="226"/>
      <c r="L70"/>
      <c r="M70"/>
      <c r="N70"/>
      <c r="O70" s="1129"/>
      <c r="P70" s="210"/>
    </row>
    <row r="71" spans="1:16" s="105" customFormat="1" ht="15.75">
      <c r="A71" s="2103"/>
      <c r="B71" s="1171"/>
      <c r="C71" s="2144" t="s">
        <v>550</v>
      </c>
      <c r="D71" s="2144"/>
      <c r="E71" s="1197" t="s">
        <v>553</v>
      </c>
      <c r="F71" s="1194" t="s">
        <v>544</v>
      </c>
      <c r="G71"/>
      <c r="H71" s="1191"/>
      <c r="I71" s="1173"/>
      <c r="J71" s="226"/>
      <c r="K71" s="226"/>
      <c r="L71"/>
      <c r="M71"/>
      <c r="N71"/>
      <c r="O71" s="1129"/>
      <c r="P71" s="210"/>
    </row>
    <row r="72" spans="1:16" s="105" customFormat="1" ht="15.75">
      <c r="A72" s="2103"/>
      <c r="B72" s="1171"/>
      <c r="C72" s="2144" t="s">
        <v>550</v>
      </c>
      <c r="D72" s="2144"/>
      <c r="E72" s="1197" t="s">
        <v>554</v>
      </c>
      <c r="F72" s="1194" t="s">
        <v>545</v>
      </c>
      <c r="G72"/>
      <c r="H72" s="1191"/>
      <c r="I72" s="1173"/>
      <c r="J72" s="226"/>
      <c r="K72" s="226"/>
      <c r="L72"/>
      <c r="M72"/>
      <c r="N72"/>
      <c r="O72" s="1129"/>
      <c r="P72" s="210"/>
    </row>
    <row r="73" spans="1:16" s="105" customFormat="1" ht="15.75">
      <c r="A73" s="2103"/>
      <c r="B73" s="1171"/>
      <c r="C73" s="2144" t="s">
        <v>551</v>
      </c>
      <c r="D73" s="2144"/>
      <c r="E73" s="1197" t="s">
        <v>555</v>
      </c>
      <c r="F73" s="1194" t="s">
        <v>546</v>
      </c>
      <c r="G73"/>
      <c r="H73" s="1191"/>
      <c r="I73" s="1173"/>
      <c r="J73" s="226"/>
      <c r="K73" s="226"/>
      <c r="L73"/>
      <c r="M73"/>
      <c r="N73"/>
      <c r="O73" s="1129"/>
      <c r="P73" s="210"/>
    </row>
    <row r="74" spans="1:16" s="105" customFormat="1" ht="15.75">
      <c r="A74" s="2103"/>
      <c r="B74" s="1171"/>
      <c r="C74" s="2144" t="s">
        <v>551</v>
      </c>
      <c r="D74" s="2144"/>
      <c r="E74" s="1197" t="s">
        <v>556</v>
      </c>
      <c r="F74" s="1194" t="s">
        <v>544</v>
      </c>
      <c r="G74"/>
      <c r="H74" s="1191"/>
      <c r="I74" s="1173"/>
      <c r="J74" s="226"/>
      <c r="K74" s="226"/>
      <c r="L74"/>
      <c r="M74"/>
      <c r="N74"/>
      <c r="O74" s="1129"/>
      <c r="P74" s="210"/>
    </row>
    <row r="75" spans="1:16" s="105" customFormat="1" ht="15.75">
      <c r="A75" s="2103"/>
      <c r="B75" s="1171"/>
      <c r="C75" s="2144" t="s">
        <v>551</v>
      </c>
      <c r="D75" s="2144"/>
      <c r="E75" s="1197" t="s">
        <v>557</v>
      </c>
      <c r="F75" s="1195" t="s">
        <v>547</v>
      </c>
      <c r="G75"/>
      <c r="H75" s="1191"/>
      <c r="I75" s="1173"/>
      <c r="J75" s="226"/>
      <c r="K75" s="226"/>
      <c r="L75"/>
      <c r="M75"/>
      <c r="N75"/>
      <c r="O75" s="1129"/>
      <c r="P75" s="210"/>
    </row>
    <row r="76" spans="1:16" s="105" customFormat="1" ht="15.75">
      <c r="A76" s="2103"/>
      <c r="B76" s="1174"/>
      <c r="C76" s="1175"/>
      <c r="D76" s="1175"/>
      <c r="E76" s="1176"/>
      <c r="F76" s="1176"/>
      <c r="G76" s="1176"/>
      <c r="H76" s="1176"/>
      <c r="I76" s="1176"/>
      <c r="J76" s="1176"/>
      <c r="K76" s="1176"/>
      <c r="L76" s="1094"/>
      <c r="M76" s="1094"/>
      <c r="N76" s="1094"/>
      <c r="O76" s="1131"/>
      <c r="P76" s="210"/>
    </row>
    <row r="77" spans="1:16" s="105" customFormat="1" ht="15.75">
      <c r="A77" s="210"/>
      <c r="B77" s="210"/>
      <c r="C77" s="210"/>
      <c r="D77" s="210"/>
      <c r="E77" s="210"/>
      <c r="F77" s="210"/>
      <c r="G77" s="210"/>
      <c r="H77" s="210"/>
      <c r="I77" s="210"/>
      <c r="J77" s="242"/>
      <c r="K77" s="210"/>
      <c r="L77" s="210"/>
      <c r="M77" s="210"/>
      <c r="N77" s="210"/>
      <c r="O77" s="210"/>
      <c r="P77" s="210"/>
    </row>
    <row r="78" spans="1:16" ht="15" hidden="1" customHeight="1"/>
    <row r="79" spans="1:16" ht="15" hidden="1" customHeight="1"/>
    <row r="80" spans="1:16"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sheetData>
  <sheetProtection algorithmName="SHA-512" hashValue="kDYL8mZr0kqLWBSfsz4Wm+uiSy7ZcFA0cGTCUTOdtgtN7NYj6pj+dVP6erwKoIrAqmusX7FVZc6gK4JobVWh4A==" saltValue="VlEMTFx5ogOO9xb3/rxmWg==" spinCount="100000" sheet="1" objects="1" scenarios="1" selectLockedCells="1"/>
  <mergeCells count="15">
    <mergeCell ref="A6:A76"/>
    <mergeCell ref="H55:J55"/>
    <mergeCell ref="C68:D68"/>
    <mergeCell ref="C69:D69"/>
    <mergeCell ref="C70:D70"/>
    <mergeCell ref="C71:D71"/>
    <mergeCell ref="C72:D72"/>
    <mergeCell ref="C73:D73"/>
    <mergeCell ref="C74:D74"/>
    <mergeCell ref="C75:D75"/>
    <mergeCell ref="C1:E4"/>
    <mergeCell ref="F2:G3"/>
    <mergeCell ref="H2:I3"/>
    <mergeCell ref="J2:K3"/>
    <mergeCell ref="L2:M3"/>
  </mergeCells>
  <pageMargins left="0.19685039370078741" right="0.19685039370078741" top="0.19685039370078741" bottom="0.19685039370078741" header="0.31496062992125984" footer="0.31496062992125984"/>
  <pageSetup paperSize="9" scale="71" fitToHeight="8" orientation="portrait" r:id="rId1"/>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0BEC-BCBF-4BD7-B8D7-74B6864A8FF4}">
  <sheetPr codeName="Ark21">
    <tabColor theme="9" tint="0.79998168889431442"/>
    <pageSetUpPr fitToPage="1"/>
  </sheetPr>
  <dimension ref="A1:U27"/>
  <sheetViews>
    <sheetView showGridLines="0" showRowColHeaders="0" zoomScaleNormal="100" workbookViewId="0">
      <pane ySplit="4" topLeftCell="A5" activePane="bottomLeft" state="frozen"/>
      <selection pane="bottomLeft" activeCell="L18" sqref="L18"/>
    </sheetView>
  </sheetViews>
  <sheetFormatPr defaultColWidth="0" defaultRowHeight="15" customHeight="1" zeroHeight="1"/>
  <cols>
    <col min="1" max="1" width="2.42578125" customWidth="1"/>
    <col min="2" max="2" width="3.28515625" customWidth="1"/>
    <col min="3" max="3" width="7.7109375" customWidth="1"/>
    <col min="4" max="4" width="11.42578125" customWidth="1"/>
    <col min="5" max="5" width="15" customWidth="1"/>
    <col min="6" max="7" width="13" customWidth="1"/>
    <col min="8" max="8" width="9.140625" customWidth="1"/>
    <col min="9" max="10" width="10.140625" customWidth="1"/>
    <col min="11" max="11" width="12" customWidth="1"/>
    <col min="12" max="12" width="10.140625" customWidth="1"/>
    <col min="13" max="13" width="10.7109375" customWidth="1"/>
    <col min="14" max="14" width="6.7109375" customWidth="1"/>
    <col min="15" max="15" width="3.42578125" customWidth="1"/>
    <col min="16" max="16" width="2.7109375" customWidth="1"/>
    <col min="17" max="17" width="9.140625" hidden="1" customWidth="1"/>
    <col min="18" max="18" width="22.5703125" hidden="1" customWidth="1"/>
    <col min="19" max="19" width="23.7109375" hidden="1" customWidth="1"/>
    <col min="20" max="20" width="22.7109375" hidden="1" customWidth="1"/>
    <col min="21" max="21" width="20.7109375" hidden="1" customWidth="1"/>
    <col min="22" max="16384" width="9.140625" hidden="1"/>
  </cols>
  <sheetData>
    <row r="1" spans="1:16" ht="15" customHeight="1">
      <c r="A1" s="217"/>
      <c r="B1" s="217"/>
      <c r="C1" s="2134" t="s">
        <v>431</v>
      </c>
      <c r="D1" s="2134"/>
      <c r="E1" s="2134"/>
      <c r="F1" s="441"/>
      <c r="G1" s="441"/>
      <c r="H1" s="441"/>
      <c r="I1" s="441"/>
      <c r="J1" s="441"/>
      <c r="K1" s="442"/>
      <c r="L1" s="442"/>
      <c r="M1" s="443"/>
      <c r="N1" s="443"/>
      <c r="O1" s="442"/>
      <c r="P1" s="442"/>
    </row>
    <row r="2" spans="1:16" ht="15" customHeight="1">
      <c r="A2" s="217"/>
      <c r="B2" s="217"/>
      <c r="C2" s="2134"/>
      <c r="D2" s="2134"/>
      <c r="E2" s="2134"/>
      <c r="F2" s="2133"/>
      <c r="G2" s="2133"/>
      <c r="H2" s="2133"/>
      <c r="I2" s="2133"/>
      <c r="J2" s="2133"/>
      <c r="K2" s="2133"/>
      <c r="L2" s="2133"/>
      <c r="M2" s="2133"/>
      <c r="N2" s="443"/>
      <c r="O2" s="442"/>
      <c r="P2" s="442"/>
    </row>
    <row r="3" spans="1:16" ht="15" customHeight="1">
      <c r="A3" s="217"/>
      <c r="B3" s="217"/>
      <c r="C3" s="2134"/>
      <c r="D3" s="2134"/>
      <c r="E3" s="2134"/>
      <c r="F3" s="2133"/>
      <c r="G3" s="2133"/>
      <c r="H3" s="2133"/>
      <c r="I3" s="2133"/>
      <c r="J3" s="2133"/>
      <c r="K3" s="2133"/>
      <c r="L3" s="2133"/>
      <c r="M3" s="2133"/>
      <c r="N3" s="443"/>
      <c r="O3" s="442"/>
      <c r="P3" s="442"/>
    </row>
    <row r="4" spans="1:16" ht="15.75" customHeight="1" thickBot="1">
      <c r="A4" s="253"/>
      <c r="B4" s="253"/>
      <c r="C4" s="2135"/>
      <c r="D4" s="2135"/>
      <c r="E4" s="2135"/>
      <c r="F4" s="444"/>
      <c r="G4" s="444"/>
      <c r="H4" s="444"/>
      <c r="I4" s="444"/>
      <c r="J4" s="444"/>
      <c r="K4" s="445"/>
      <c r="L4" s="445"/>
      <c r="M4" s="446"/>
      <c r="N4" s="446"/>
      <c r="O4" s="445"/>
      <c r="P4" s="445"/>
    </row>
    <row r="5" spans="1:16" ht="16.5" thickTop="1">
      <c r="A5" s="210"/>
      <c r="B5" s="210"/>
      <c r="C5" s="210"/>
      <c r="D5" s="210"/>
      <c r="E5" s="210"/>
      <c r="F5" s="210"/>
      <c r="G5" s="210"/>
      <c r="H5" s="210"/>
      <c r="I5" s="210"/>
      <c r="J5" s="242"/>
      <c r="K5" s="210"/>
      <c r="L5" s="210"/>
      <c r="M5" s="210"/>
      <c r="N5" s="210"/>
      <c r="O5" s="210"/>
      <c r="P5" s="210"/>
    </row>
    <row r="6" spans="1:16" ht="15.75">
      <c r="A6" s="2103"/>
      <c r="B6" s="1168"/>
      <c r="C6" s="1170"/>
      <c r="D6" s="1170"/>
      <c r="E6" s="1170"/>
      <c r="F6" s="1170"/>
      <c r="G6" s="1170"/>
      <c r="H6" s="1170"/>
      <c r="I6" s="1170"/>
      <c r="J6" s="1169"/>
      <c r="K6" s="1170"/>
      <c r="L6" s="1150"/>
      <c r="M6" s="1150"/>
      <c r="N6" s="1150"/>
      <c r="O6" s="1128"/>
      <c r="P6" s="210"/>
    </row>
    <row r="7" spans="1:16" ht="26.25">
      <c r="A7" s="2103"/>
      <c r="B7" s="1171"/>
      <c r="C7" s="250" t="s">
        <v>361</v>
      </c>
      <c r="D7" s="226"/>
      <c r="E7" s="226"/>
      <c r="F7" s="226"/>
      <c r="I7" s="2145" t="s">
        <v>362</v>
      </c>
      <c r="J7" s="2145"/>
      <c r="K7" s="226"/>
      <c r="O7" s="1129"/>
      <c r="P7" s="210"/>
    </row>
    <row r="8" spans="1:16" ht="15.75">
      <c r="A8" s="2103"/>
      <c r="B8" s="1171"/>
      <c r="C8" s="1172"/>
      <c r="D8" s="1178"/>
      <c r="E8" s="226"/>
      <c r="F8" s="226"/>
      <c r="I8" s="2145"/>
      <c r="J8" s="2145"/>
      <c r="K8" s="226"/>
      <c r="O8" s="1129"/>
      <c r="P8" s="210"/>
    </row>
    <row r="9" spans="1:16" ht="15.75">
      <c r="A9" s="2103"/>
      <c r="B9" s="1171"/>
      <c r="C9" s="248" t="s">
        <v>454</v>
      </c>
      <c r="D9" s="1179"/>
      <c r="E9" s="226"/>
      <c r="F9" s="226"/>
      <c r="I9" s="248" t="s">
        <v>440</v>
      </c>
      <c r="J9" s="226"/>
      <c r="K9" s="226"/>
      <c r="O9" s="1129"/>
      <c r="P9" s="210"/>
    </row>
    <row r="10" spans="1:16" ht="15.75">
      <c r="A10" s="2103"/>
      <c r="B10" s="1171"/>
      <c r="C10" s="248" t="s">
        <v>457</v>
      </c>
      <c r="D10" s="1179"/>
      <c r="E10" s="226"/>
      <c r="F10" s="226"/>
      <c r="I10" s="248" t="s">
        <v>441</v>
      </c>
      <c r="J10" s="226"/>
      <c r="K10" s="226"/>
      <c r="O10" s="1129"/>
      <c r="P10" s="210"/>
    </row>
    <row r="11" spans="1:16" ht="15.75">
      <c r="A11" s="2103"/>
      <c r="B11" s="1171"/>
      <c r="C11" s="248" t="s">
        <v>455</v>
      </c>
      <c r="D11" s="1179"/>
      <c r="E11" s="226"/>
      <c r="F11" s="226"/>
      <c r="I11" s="1173" t="s">
        <v>442</v>
      </c>
      <c r="J11" s="226"/>
      <c r="K11" s="226"/>
      <c r="O11" s="1129"/>
      <c r="P11" s="210"/>
    </row>
    <row r="12" spans="1:16" ht="15.75">
      <c r="A12" s="2103"/>
      <c r="B12" s="1171"/>
      <c r="C12" s="248" t="s">
        <v>456</v>
      </c>
      <c r="D12" s="226"/>
      <c r="E12" s="226"/>
      <c r="F12" s="226"/>
      <c r="I12" s="226" t="s">
        <v>443</v>
      </c>
      <c r="J12" s="226"/>
      <c r="K12" s="226"/>
      <c r="O12" s="1129"/>
      <c r="P12" s="210"/>
    </row>
    <row r="13" spans="1:16" ht="15.75">
      <c r="A13" s="2103"/>
      <c r="B13" s="1171"/>
      <c r="C13" s="248"/>
      <c r="D13" s="226"/>
      <c r="E13" s="226"/>
      <c r="F13" s="226"/>
      <c r="G13" s="226"/>
      <c r="H13" s="226"/>
      <c r="I13" s="226"/>
      <c r="J13" s="227"/>
      <c r="K13" s="226"/>
      <c r="O13" s="1129"/>
      <c r="P13" s="210"/>
    </row>
    <row r="14" spans="1:16" ht="17.25">
      <c r="A14" s="2103"/>
      <c r="B14" s="1171"/>
      <c r="C14" s="248"/>
      <c r="D14" s="226"/>
      <c r="E14" s="226"/>
      <c r="F14" s="226"/>
      <c r="I14" s="1177" t="s">
        <v>361</v>
      </c>
      <c r="J14" s="1180"/>
      <c r="K14" s="1167"/>
      <c r="L14" s="1167"/>
      <c r="O14" s="1129"/>
      <c r="P14" s="210"/>
    </row>
    <row r="15" spans="1:16" ht="17.25">
      <c r="A15" s="2103"/>
      <c r="B15" s="1181"/>
      <c r="C15" s="1177" t="s">
        <v>446</v>
      </c>
      <c r="D15" s="1167"/>
      <c r="E15" s="1167"/>
      <c r="F15" s="226"/>
      <c r="I15" s="248" t="s">
        <v>338</v>
      </c>
      <c r="J15" s="226"/>
      <c r="L15" s="226"/>
      <c r="M15" s="290">
        <v>20</v>
      </c>
      <c r="O15" s="1129"/>
      <c r="P15" s="295"/>
    </row>
    <row r="16" spans="1:16" ht="15.75">
      <c r="A16" s="2103"/>
      <c r="B16" s="1171"/>
      <c r="C16" s="309" t="s">
        <v>447</v>
      </c>
      <c r="D16" s="226"/>
      <c r="E16" s="226"/>
      <c r="F16" s="226"/>
      <c r="I16" s="248" t="str">
        <f>"2x ønsket dejtemperatur (2x "&amp;M15&amp;"°)"</f>
        <v>2x ønsket dejtemperatur (2x 20°)</v>
      </c>
      <c r="J16" s="226"/>
      <c r="L16" s="226"/>
      <c r="M16" s="294">
        <f>M15*2</f>
        <v>40</v>
      </c>
      <c r="O16" s="1129"/>
      <c r="P16" s="210"/>
    </row>
    <row r="17" spans="1:16" ht="15.75">
      <c r="A17" s="2103"/>
      <c r="B17" s="1171"/>
      <c r="C17" s="1182" t="s">
        <v>448</v>
      </c>
      <c r="D17" s="226"/>
      <c r="E17" s="226"/>
      <c r="F17" s="226"/>
      <c r="I17" s="1183" t="s">
        <v>448</v>
      </c>
      <c r="J17" s="226"/>
      <c r="L17" s="226"/>
      <c r="M17" s="289">
        <v>23</v>
      </c>
      <c r="O17" s="1129"/>
      <c r="P17" s="210"/>
    </row>
    <row r="18" spans="1:16" ht="15.75">
      <c r="A18" s="2103"/>
      <c r="B18" s="1171"/>
      <c r="C18" s="1182" t="s">
        <v>453</v>
      </c>
      <c r="D18" s="226"/>
      <c r="E18" s="226"/>
      <c r="F18" s="226"/>
      <c r="I18" s="1183" t="s">
        <v>449</v>
      </c>
      <c r="J18" s="226"/>
      <c r="L18" s="291">
        <v>5</v>
      </c>
      <c r="M18" s="293">
        <f>L18*1</f>
        <v>5</v>
      </c>
      <c r="O18" s="1129"/>
      <c r="P18" s="210"/>
    </row>
    <row r="19" spans="1:16" ht="15.75">
      <c r="A19" s="2103"/>
      <c r="B19" s="1171"/>
      <c r="C19" s="235" t="s">
        <v>452</v>
      </c>
      <c r="D19" s="226"/>
      <c r="E19" s="226"/>
      <c r="F19" s="226"/>
      <c r="I19" s="249" t="s">
        <v>450</v>
      </c>
      <c r="J19" s="226"/>
      <c r="L19" s="291">
        <v>5</v>
      </c>
      <c r="M19" s="1184">
        <f>L19*2</f>
        <v>10</v>
      </c>
      <c r="O19" s="1129"/>
      <c r="P19" s="210"/>
    </row>
    <row r="20" spans="1:16" ht="15.75" customHeight="1">
      <c r="A20" s="2103"/>
      <c r="B20" s="1171"/>
      <c r="C20" s="235" t="s">
        <v>451</v>
      </c>
      <c r="D20" s="226"/>
      <c r="E20" s="226"/>
      <c r="F20" s="226"/>
      <c r="I20" s="1185" t="s">
        <v>342</v>
      </c>
      <c r="J20" s="241"/>
      <c r="L20" s="226"/>
      <c r="M20" s="2146" t="str">
        <f>IF(OR(M15="",M17="",L18="",L19=""),"",(M15*2)-M17-L18-(L19*2)&amp;"°")</f>
        <v>2°</v>
      </c>
      <c r="O20" s="1129"/>
      <c r="P20" s="210"/>
    </row>
    <row r="21" spans="1:16" ht="15.75" customHeight="1">
      <c r="A21" s="2103"/>
      <c r="B21" s="1171"/>
      <c r="C21" s="248"/>
      <c r="D21" s="1179"/>
      <c r="E21" s="226"/>
      <c r="F21" s="226"/>
      <c r="I21" s="1186" t="s">
        <v>343</v>
      </c>
      <c r="J21" s="241"/>
      <c r="L21" s="226"/>
      <c r="M21" s="2147"/>
      <c r="O21" s="1129"/>
      <c r="P21" s="210"/>
    </row>
    <row r="22" spans="1:16" ht="15.75">
      <c r="A22" s="2103"/>
      <c r="B22" s="1171"/>
      <c r="C22" s="226"/>
      <c r="D22" s="226"/>
      <c r="E22" s="226"/>
      <c r="F22" s="226"/>
      <c r="G22" s="226"/>
      <c r="H22" s="226"/>
      <c r="I22" s="226"/>
      <c r="J22" s="227"/>
      <c r="K22" s="226"/>
      <c r="O22" s="1129"/>
      <c r="P22" s="210"/>
    </row>
    <row r="23" spans="1:16" ht="15.75">
      <c r="A23" s="2103"/>
      <c r="B23" s="1171"/>
      <c r="C23" s="226"/>
      <c r="D23" s="226"/>
      <c r="E23" s="226"/>
      <c r="F23" s="226"/>
      <c r="G23" s="226"/>
      <c r="H23" s="226"/>
      <c r="I23" s="226"/>
      <c r="J23" s="227"/>
      <c r="K23" s="226"/>
      <c r="O23" s="1129"/>
      <c r="P23" s="210"/>
    </row>
    <row r="24" spans="1:16" ht="15.75">
      <c r="A24" s="2103"/>
      <c r="B24" s="1171"/>
      <c r="C24" s="224" t="s">
        <v>800</v>
      </c>
      <c r="D24" s="226"/>
      <c r="E24" s="226"/>
      <c r="F24" s="226"/>
      <c r="G24" s="226"/>
      <c r="H24" s="226"/>
      <c r="I24" s="226"/>
      <c r="J24" s="226"/>
      <c r="K24" s="226"/>
      <c r="O24" s="1129"/>
      <c r="P24" s="210"/>
    </row>
    <row r="25" spans="1:16" ht="15.75">
      <c r="A25" s="2103"/>
      <c r="B25" s="1171"/>
      <c r="C25" s="248" t="s">
        <v>801</v>
      </c>
      <c r="D25" s="226"/>
      <c r="E25" s="226"/>
      <c r="F25" s="226"/>
      <c r="G25" s="226"/>
      <c r="H25" s="226"/>
      <c r="I25" s="226"/>
      <c r="J25" s="226"/>
      <c r="K25" s="226"/>
      <c r="O25" s="1129"/>
      <c r="P25" s="210"/>
    </row>
    <row r="26" spans="1:16" ht="15.75">
      <c r="A26" s="2103"/>
      <c r="B26" s="1187"/>
      <c r="C26" s="1176"/>
      <c r="D26" s="1176"/>
      <c r="E26" s="1176"/>
      <c r="F26" s="1176"/>
      <c r="G26" s="1176"/>
      <c r="H26" s="1176"/>
      <c r="I26" s="1176"/>
      <c r="J26" s="1176"/>
      <c r="K26" s="1176"/>
      <c r="L26" s="1094"/>
      <c r="M26" s="1094"/>
      <c r="N26" s="1094"/>
      <c r="O26" s="1131"/>
      <c r="P26" s="210"/>
    </row>
    <row r="27" spans="1:16" ht="15.75">
      <c r="A27" s="210"/>
      <c r="B27" s="213"/>
      <c r="C27" s="210"/>
      <c r="D27" s="210"/>
      <c r="E27" s="210"/>
      <c r="F27" s="210"/>
      <c r="G27" s="210"/>
      <c r="H27" s="210"/>
      <c r="I27" s="210"/>
      <c r="J27" s="210"/>
      <c r="K27" s="210"/>
      <c r="L27" s="210"/>
      <c r="M27" s="210"/>
      <c r="N27" s="210"/>
      <c r="O27" s="210"/>
      <c r="P27" s="210"/>
    </row>
  </sheetData>
  <sheetProtection algorithmName="SHA-512" hashValue="3ntfgQBaWO39XYBi5h09d3kPPrnG/f6FKnTafVRdodxcw2iYdZnN0NFaBRKtVk1PSW/xcP+t4GJD4BCfLxTNmQ==" saltValue="5p7xz+KagsqvuLKYOJn5hQ==" spinCount="100000" sheet="1" objects="1" scenarios="1" selectLockedCells="1"/>
  <mergeCells count="8">
    <mergeCell ref="A6:A26"/>
    <mergeCell ref="I7:J8"/>
    <mergeCell ref="M20:M21"/>
    <mergeCell ref="C1:E4"/>
    <mergeCell ref="F2:G3"/>
    <mergeCell ref="H2:I3"/>
    <mergeCell ref="J2:K3"/>
    <mergeCell ref="L2:M3"/>
  </mergeCells>
  <dataValidations count="1">
    <dataValidation allowBlank="1" showInputMessage="1" showErrorMessage="1" promptTitle="Anbefaling" prompt="24-27°_x000a_Dejtemperaturen har meget stor betydning for det endelieg resultat." sqref="M15" xr:uid="{C8164E72-5291-46FF-8868-8A62CD6C6558}"/>
  </dataValidations>
  <pageMargins left="0.19685039370078741" right="0.19685039370078741" top="0.19685039370078741" bottom="0.19685039370078741" header="0.31496062992125984" footer="0.31496062992125984"/>
  <pageSetup paperSize="9" scale="71" fitToHeight="8"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68F35-3CE9-42F5-A4DA-D9B3C21CC1BF}">
  <sheetPr codeName="Ark15">
    <tabColor theme="9" tint="0.79998168889431442"/>
    <pageSetUpPr fitToPage="1"/>
  </sheetPr>
  <dimension ref="A1:S60"/>
  <sheetViews>
    <sheetView showGridLines="0" showRowColHeaders="0" workbookViewId="0">
      <pane ySplit="4" topLeftCell="A5" activePane="bottomLeft" state="frozen"/>
      <selection pane="bottomLeft" activeCell="M60" sqref="M60:O60"/>
    </sheetView>
  </sheetViews>
  <sheetFormatPr defaultColWidth="0" defaultRowHeight="15" zeroHeight="1"/>
  <cols>
    <col min="1" max="1" width="2.42578125" customWidth="1"/>
    <col min="2" max="2" width="3.28515625" customWidth="1"/>
    <col min="3" max="3" width="6.42578125" customWidth="1"/>
    <col min="4" max="11" width="9.140625" customWidth="1"/>
    <col min="12" max="12" width="9.7109375" bestFit="1" customWidth="1"/>
    <col min="13" max="15" width="9.140625" customWidth="1"/>
    <col min="16" max="16384" width="9.140625" hidden="1"/>
  </cols>
  <sheetData>
    <row r="1" spans="1:19">
      <c r="A1" s="217"/>
      <c r="B1" s="217"/>
      <c r="C1" s="217"/>
      <c r="D1" s="2148" t="s">
        <v>315</v>
      </c>
      <c r="E1" s="2148"/>
      <c r="F1" s="2148"/>
      <c r="G1" s="2148"/>
      <c r="H1" s="2148"/>
      <c r="I1" s="2148"/>
      <c r="J1" s="2148"/>
      <c r="K1" s="217"/>
      <c r="L1" s="217"/>
      <c r="M1" s="222"/>
      <c r="N1" s="217"/>
      <c r="O1" s="217"/>
    </row>
    <row r="2" spans="1:19">
      <c r="A2" s="217"/>
      <c r="B2" s="217"/>
      <c r="C2" s="217"/>
      <c r="D2" s="2148"/>
      <c r="E2" s="2148"/>
      <c r="F2" s="2148"/>
      <c r="G2" s="2148"/>
      <c r="H2" s="2148"/>
      <c r="I2" s="2148"/>
      <c r="J2" s="2148"/>
      <c r="K2" s="217"/>
      <c r="L2" s="217"/>
      <c r="M2" s="222"/>
      <c r="N2" s="217"/>
      <c r="O2" s="217"/>
    </row>
    <row r="3" spans="1:19">
      <c r="A3" s="217"/>
      <c r="B3" s="217"/>
      <c r="C3" s="217"/>
      <c r="D3" s="2148"/>
      <c r="E3" s="2148"/>
      <c r="F3" s="2148"/>
      <c r="G3" s="2148"/>
      <c r="H3" s="2148"/>
      <c r="I3" s="2148"/>
      <c r="J3" s="2148"/>
      <c r="K3" s="217"/>
      <c r="L3" s="217"/>
      <c r="M3" s="222"/>
      <c r="N3" s="217"/>
      <c r="O3" s="217"/>
    </row>
    <row r="4" spans="1:19" ht="15.75" thickBot="1">
      <c r="A4" s="512"/>
      <c r="B4" s="512"/>
      <c r="C4" s="512"/>
      <c r="D4" s="2149"/>
      <c r="E4" s="2149"/>
      <c r="F4" s="2149"/>
      <c r="G4" s="2149"/>
      <c r="H4" s="2149"/>
      <c r="I4" s="2149"/>
      <c r="J4" s="2149"/>
      <c r="K4" s="512"/>
      <c r="L4" s="512"/>
      <c r="M4" s="513"/>
      <c r="N4" s="512"/>
      <c r="O4" s="512"/>
    </row>
    <row r="5" spans="1:19">
      <c r="A5" s="89"/>
      <c r="B5" s="98"/>
      <c r="C5" s="98"/>
      <c r="D5" s="98"/>
      <c r="E5" s="98"/>
      <c r="F5" s="98"/>
      <c r="G5" s="98"/>
      <c r="H5" s="98"/>
      <c r="I5" s="98"/>
      <c r="J5" s="98"/>
      <c r="K5" s="98"/>
      <c r="L5" s="98"/>
      <c r="M5" s="98"/>
      <c r="N5" s="98"/>
      <c r="O5" s="89"/>
    </row>
    <row r="6" spans="1:19" ht="26.25">
      <c r="A6" s="89"/>
      <c r="B6" s="98"/>
      <c r="C6" s="1306" t="s">
        <v>334</v>
      </c>
      <c r="D6" s="161"/>
      <c r="E6" s="161"/>
      <c r="F6" s="161"/>
      <c r="G6" s="161"/>
      <c r="H6" s="161"/>
      <c r="I6" s="161"/>
      <c r="J6" s="161"/>
      <c r="K6" s="161"/>
      <c r="L6" s="161"/>
      <c r="M6" s="161"/>
      <c r="N6" s="161"/>
      <c r="O6" s="89"/>
    </row>
    <row r="7" spans="1:19" s="105" customFormat="1" ht="18.75">
      <c r="A7" s="92"/>
      <c r="B7" s="91"/>
      <c r="C7" s="91"/>
      <c r="D7" s="91"/>
      <c r="E7" s="91"/>
      <c r="F7" s="91"/>
      <c r="G7" s="91"/>
      <c r="H7" s="91"/>
      <c r="I7" s="91"/>
      <c r="J7" s="91"/>
      <c r="K7" s="91"/>
      <c r="L7" s="91"/>
      <c r="M7" s="91"/>
      <c r="N7" s="91"/>
      <c r="O7" s="92"/>
      <c r="P7" s="88"/>
      <c r="Q7" s="88"/>
      <c r="R7" s="88"/>
      <c r="S7" s="88"/>
    </row>
    <row r="8" spans="1:19" s="105" customFormat="1" ht="20.25" customHeight="1">
      <c r="A8" s="92"/>
      <c r="B8" s="91"/>
      <c r="C8" s="195">
        <v>1</v>
      </c>
      <c r="D8" s="91" t="s">
        <v>335</v>
      </c>
      <c r="E8" s="91"/>
      <c r="F8" s="91"/>
      <c r="G8" s="91"/>
      <c r="H8" s="91"/>
      <c r="I8" s="91"/>
      <c r="J8" s="91"/>
      <c r="K8" s="91"/>
      <c r="L8" s="91"/>
      <c r="M8" s="91"/>
      <c r="N8" s="91"/>
      <c r="O8" s="92"/>
      <c r="P8" s="88"/>
      <c r="Q8" s="88"/>
      <c r="R8" s="88"/>
      <c r="S8" s="88"/>
    </row>
    <row r="9" spans="1:19" s="105" customFormat="1" ht="20.25" customHeight="1">
      <c r="A9" s="92"/>
      <c r="B9" s="91"/>
      <c r="C9" s="195">
        <v>2</v>
      </c>
      <c r="D9" s="91" t="s">
        <v>308</v>
      </c>
      <c r="E9" s="91"/>
      <c r="F9" s="91"/>
      <c r="G9" s="91"/>
      <c r="H9" s="91"/>
      <c r="I9" s="91"/>
      <c r="J9" s="91"/>
      <c r="K9" s="91"/>
      <c r="L9" s="91"/>
      <c r="M9" s="91"/>
      <c r="N9" s="91"/>
      <c r="O9" s="92"/>
      <c r="P9" s="88"/>
      <c r="Q9" s="88"/>
      <c r="R9" s="88"/>
      <c r="S9" s="88"/>
    </row>
    <row r="10" spans="1:19" s="105" customFormat="1" ht="20.25" customHeight="1">
      <c r="A10" s="92"/>
      <c r="B10" s="91"/>
      <c r="C10" s="195">
        <v>3</v>
      </c>
      <c r="D10" s="91" t="s">
        <v>309</v>
      </c>
      <c r="E10" s="91"/>
      <c r="F10" s="91"/>
      <c r="G10" s="91"/>
      <c r="H10" s="91"/>
      <c r="I10" s="91"/>
      <c r="J10" s="91"/>
      <c r="K10" s="91"/>
      <c r="L10" s="91"/>
      <c r="M10" s="91"/>
      <c r="N10" s="91"/>
      <c r="O10" s="92"/>
      <c r="P10" s="88"/>
      <c r="Q10" s="88"/>
      <c r="R10" s="88"/>
      <c r="S10" s="88"/>
    </row>
    <row r="11" spans="1:19" s="105" customFormat="1" ht="20.25" customHeight="1">
      <c r="A11" s="92"/>
      <c r="B11" s="91"/>
      <c r="C11" s="195">
        <v>4</v>
      </c>
      <c r="D11" s="91" t="s">
        <v>310</v>
      </c>
      <c r="E11" s="91"/>
      <c r="F11" s="91"/>
      <c r="G11" s="91"/>
      <c r="H11" s="91"/>
      <c r="I11" s="91"/>
      <c r="J11" s="91"/>
      <c r="K11" s="91"/>
      <c r="L11" s="91"/>
      <c r="M11" s="91"/>
      <c r="N11" s="91"/>
      <c r="O11" s="92"/>
      <c r="P11" s="88"/>
      <c r="Q11" s="88"/>
      <c r="R11" s="88"/>
      <c r="S11" s="88"/>
    </row>
    <row r="12" spans="1:19" s="105" customFormat="1" ht="20.25" customHeight="1">
      <c r="A12" s="92"/>
      <c r="B12" s="91"/>
      <c r="C12" s="195">
        <v>5</v>
      </c>
      <c r="D12" s="91" t="s">
        <v>311</v>
      </c>
      <c r="E12" s="91"/>
      <c r="F12" s="91"/>
      <c r="G12" s="91"/>
      <c r="H12" s="91"/>
      <c r="I12" s="91"/>
      <c r="J12" s="91"/>
      <c r="K12" s="91"/>
      <c r="L12" s="91"/>
      <c r="M12" s="91"/>
      <c r="N12" s="91"/>
      <c r="O12" s="92"/>
      <c r="P12" s="88"/>
      <c r="Q12" s="88"/>
      <c r="R12" s="88"/>
      <c r="S12" s="88"/>
    </row>
    <row r="13" spans="1:19" s="105" customFormat="1" ht="20.25" customHeight="1">
      <c r="A13" s="92"/>
      <c r="B13" s="91"/>
      <c r="C13" s="195">
        <v>6</v>
      </c>
      <c r="D13" s="91" t="s">
        <v>312</v>
      </c>
      <c r="E13" s="91"/>
      <c r="F13" s="91"/>
      <c r="G13" s="91"/>
      <c r="H13" s="91"/>
      <c r="I13" s="91"/>
      <c r="J13" s="91"/>
      <c r="K13" s="91"/>
      <c r="L13" s="91"/>
      <c r="M13" s="91"/>
      <c r="N13" s="91"/>
      <c r="O13" s="92"/>
      <c r="P13" s="88"/>
      <c r="Q13" s="88"/>
      <c r="R13" s="88"/>
      <c r="S13" s="88"/>
    </row>
    <row r="14" spans="1:19" s="105" customFormat="1" ht="18.75">
      <c r="A14" s="92"/>
      <c r="B14" s="91"/>
      <c r="C14" s="91"/>
      <c r="D14" s="91"/>
      <c r="E14" s="91"/>
      <c r="F14" s="91"/>
      <c r="G14" s="91"/>
      <c r="H14" s="91"/>
      <c r="I14" s="91"/>
      <c r="J14" s="91"/>
      <c r="K14" s="91"/>
      <c r="L14" s="91"/>
      <c r="M14" s="91"/>
      <c r="N14" s="91"/>
      <c r="O14" s="92"/>
      <c r="P14" s="88"/>
      <c r="Q14" s="88"/>
      <c r="R14" s="88"/>
      <c r="S14" s="88"/>
    </row>
    <row r="15" spans="1:19" s="105" customFormat="1" ht="18.75">
      <c r="A15" s="92"/>
      <c r="B15" s="91"/>
      <c r="C15" s="91"/>
      <c r="D15" s="91"/>
      <c r="E15" s="91"/>
      <c r="F15" s="91"/>
      <c r="G15" s="91"/>
      <c r="H15" s="91"/>
      <c r="I15" s="91"/>
      <c r="J15" s="91"/>
      <c r="K15" s="91"/>
      <c r="L15" s="91"/>
      <c r="M15" s="91"/>
      <c r="N15" s="91"/>
      <c r="O15" s="92"/>
      <c r="P15" s="88"/>
      <c r="Q15" s="88"/>
      <c r="R15" s="88"/>
      <c r="S15" s="88"/>
    </row>
    <row r="16" spans="1:19" s="105" customFormat="1" ht="18.75">
      <c r="A16" s="92"/>
      <c r="B16" s="91"/>
      <c r="C16" s="91"/>
      <c r="D16" s="91"/>
      <c r="E16" s="91"/>
      <c r="F16" s="91"/>
      <c r="G16" s="91"/>
      <c r="H16" s="91"/>
      <c r="I16" s="91"/>
      <c r="J16" s="91"/>
      <c r="K16" s="91"/>
      <c r="L16" s="91"/>
      <c r="M16" s="91"/>
      <c r="N16" s="91"/>
      <c r="O16" s="92"/>
      <c r="P16" s="88"/>
      <c r="Q16" s="88"/>
      <c r="R16" s="88"/>
      <c r="S16" s="88"/>
    </row>
    <row r="17" spans="1:19" ht="26.25">
      <c r="A17" s="92"/>
      <c r="B17" s="91"/>
      <c r="C17" s="1306" t="s">
        <v>1015</v>
      </c>
      <c r="D17" s="1307"/>
      <c r="E17" s="1307"/>
      <c r="F17" s="1307"/>
      <c r="G17" s="1307"/>
      <c r="H17" s="1307"/>
      <c r="I17" s="1307"/>
      <c r="J17" s="1307"/>
      <c r="K17" s="1307"/>
      <c r="L17" s="1307"/>
      <c r="M17" s="1307"/>
      <c r="N17" s="1307"/>
      <c r="O17" s="92"/>
      <c r="P17" s="88"/>
      <c r="Q17" s="88"/>
      <c r="R17" s="88"/>
      <c r="S17" s="88"/>
    </row>
    <row r="18" spans="1:19" ht="18.75">
      <c r="A18" s="92"/>
      <c r="B18" s="92"/>
      <c r="C18" s="92"/>
      <c r="D18" s="92"/>
      <c r="E18" s="92"/>
      <c r="F18" s="92"/>
      <c r="G18" s="92"/>
      <c r="H18" s="92"/>
      <c r="I18" s="92"/>
      <c r="J18" s="92"/>
      <c r="K18" s="92"/>
      <c r="L18" s="92"/>
      <c r="M18" s="92"/>
      <c r="N18" s="92"/>
      <c r="O18" s="92"/>
      <c r="P18" s="88"/>
      <c r="Q18" s="88"/>
      <c r="R18" s="88"/>
      <c r="S18" s="88"/>
    </row>
    <row r="19" spans="1:19" ht="18.75">
      <c r="A19" s="92"/>
      <c r="B19" s="92"/>
      <c r="C19" s="1305" t="s">
        <v>1004</v>
      </c>
      <c r="D19" s="91" t="s">
        <v>1005</v>
      </c>
      <c r="E19" s="91"/>
      <c r="F19" s="91"/>
      <c r="G19" s="91"/>
      <c r="H19" s="195"/>
      <c r="I19" s="92"/>
      <c r="J19" s="92"/>
      <c r="K19" s="92"/>
      <c r="L19" s="92"/>
      <c r="M19" s="92"/>
      <c r="N19" s="92"/>
      <c r="O19" s="92"/>
      <c r="P19" s="88"/>
      <c r="Q19" s="88"/>
      <c r="R19" s="88"/>
      <c r="S19" s="88"/>
    </row>
    <row r="20" spans="1:19" ht="18.75">
      <c r="A20" s="89"/>
      <c r="B20" s="89"/>
      <c r="C20" s="1305" t="s">
        <v>1006</v>
      </c>
      <c r="D20" s="91" t="s">
        <v>1007</v>
      </c>
      <c r="E20" s="91"/>
      <c r="F20" s="91"/>
      <c r="G20" s="91"/>
      <c r="H20" s="195"/>
      <c r="I20" s="89"/>
      <c r="J20" s="89"/>
      <c r="K20" s="89"/>
      <c r="L20" s="89"/>
      <c r="M20" s="89"/>
      <c r="N20" s="89"/>
      <c r="O20" s="89"/>
    </row>
    <row r="21" spans="1:19" ht="18.75">
      <c r="A21" s="89"/>
      <c r="B21" s="89"/>
      <c r="C21" s="1305">
        <v>1</v>
      </c>
      <c r="D21" s="91" t="s">
        <v>1008</v>
      </c>
      <c r="E21" s="91"/>
      <c r="F21" s="91"/>
      <c r="G21" s="91"/>
      <c r="H21" s="195"/>
      <c r="I21" s="89"/>
      <c r="J21" s="89"/>
      <c r="K21" s="89"/>
      <c r="L21" s="89"/>
      <c r="M21" s="89"/>
      <c r="N21" s="89"/>
      <c r="O21" s="89"/>
    </row>
    <row r="22" spans="1:19" ht="18.75">
      <c r="A22" s="89"/>
      <c r="B22" s="89"/>
      <c r="C22" s="1305" t="s">
        <v>1009</v>
      </c>
      <c r="D22" s="91" t="s">
        <v>1013</v>
      </c>
      <c r="E22" s="91"/>
      <c r="F22" s="91"/>
      <c r="G22" s="91"/>
      <c r="H22" s="195"/>
      <c r="I22" s="89"/>
      <c r="J22" s="89"/>
      <c r="K22" s="89"/>
      <c r="L22" s="89"/>
      <c r="M22" s="89"/>
      <c r="N22" s="89"/>
      <c r="O22" s="89"/>
    </row>
    <row r="23" spans="1:19" ht="18.75">
      <c r="A23" s="89"/>
      <c r="B23" s="89"/>
      <c r="C23" s="1305" t="s">
        <v>1011</v>
      </c>
      <c r="D23" s="91" t="s">
        <v>1012</v>
      </c>
      <c r="E23" s="91"/>
      <c r="F23" s="91"/>
      <c r="G23" s="91"/>
      <c r="H23" s="195"/>
      <c r="I23" s="89"/>
      <c r="J23" s="89"/>
      <c r="K23" s="89"/>
      <c r="L23" s="89"/>
      <c r="M23" s="89"/>
      <c r="N23" s="89"/>
      <c r="O23" s="89"/>
    </row>
    <row r="24" spans="1:19" ht="18.75">
      <c r="A24" s="89"/>
      <c r="B24" s="89"/>
      <c r="C24" s="1305" t="s">
        <v>1010</v>
      </c>
      <c r="D24" s="91" t="s">
        <v>646</v>
      </c>
      <c r="E24" s="91"/>
      <c r="F24" s="91"/>
      <c r="G24" s="91"/>
      <c r="H24" s="195"/>
      <c r="I24" s="89"/>
      <c r="J24" s="89"/>
      <c r="K24" s="89"/>
      <c r="L24" s="89"/>
      <c r="M24" s="89"/>
      <c r="N24" s="89"/>
      <c r="O24" s="89"/>
    </row>
    <row r="25" spans="1:19" ht="18.75">
      <c r="A25" s="89"/>
      <c r="B25" s="89"/>
      <c r="C25" s="1305">
        <v>1</v>
      </c>
      <c r="D25" s="91" t="s">
        <v>1014</v>
      </c>
      <c r="E25" s="91"/>
      <c r="F25" s="91"/>
      <c r="G25" s="91"/>
      <c r="H25" s="195"/>
      <c r="I25" s="89"/>
      <c r="J25" s="89"/>
      <c r="K25" s="89"/>
      <c r="L25" s="89"/>
      <c r="M25" s="89"/>
      <c r="N25" s="89"/>
      <c r="O25" s="89"/>
    </row>
    <row r="26" spans="1:19" ht="18.75">
      <c r="A26" s="89"/>
      <c r="B26" s="89"/>
      <c r="C26" s="1305"/>
      <c r="D26" s="91"/>
      <c r="E26" s="91"/>
      <c r="F26" s="91"/>
      <c r="G26" s="91"/>
      <c r="H26" s="195"/>
      <c r="I26" s="89"/>
      <c r="J26" s="89"/>
      <c r="K26" s="89"/>
      <c r="L26" s="89"/>
      <c r="M26" s="89"/>
      <c r="N26" s="89"/>
      <c r="O26" s="89"/>
    </row>
    <row r="27" spans="1:19" ht="18.75">
      <c r="A27" s="89"/>
      <c r="B27" s="89"/>
      <c r="C27" s="216" t="s">
        <v>1016</v>
      </c>
      <c r="D27" s="91"/>
      <c r="E27" s="91"/>
      <c r="F27" s="91"/>
      <c r="G27" s="91"/>
      <c r="H27" s="195"/>
      <c r="I27" s="89"/>
      <c r="J27" s="89"/>
      <c r="K27" s="89"/>
      <c r="L27" s="89"/>
      <c r="M27" s="89"/>
      <c r="N27" s="89"/>
      <c r="O27" s="89"/>
    </row>
    <row r="28" spans="1:19" ht="18.75">
      <c r="A28" s="89"/>
      <c r="B28" s="89"/>
      <c r="C28" s="216" t="s">
        <v>1017</v>
      </c>
      <c r="D28" s="91"/>
      <c r="E28" s="91"/>
      <c r="F28" s="91"/>
      <c r="G28" s="91"/>
      <c r="H28" s="195"/>
      <c r="I28" s="89"/>
      <c r="J28" s="89"/>
      <c r="K28" s="89"/>
      <c r="L28" s="89"/>
      <c r="M28" s="89"/>
      <c r="N28" s="89"/>
      <c r="O28" s="89"/>
    </row>
    <row r="29" spans="1:19" ht="18.75">
      <c r="A29" s="89"/>
      <c r="B29" s="89"/>
      <c r="C29" s="216"/>
      <c r="D29" s="91"/>
      <c r="E29" s="91"/>
      <c r="F29" s="91"/>
      <c r="G29" s="91"/>
      <c r="H29" s="195"/>
      <c r="I29" s="89"/>
      <c r="J29" s="89"/>
      <c r="K29" s="89"/>
      <c r="L29" s="89"/>
      <c r="M29" s="89"/>
      <c r="N29" s="89"/>
      <c r="O29" s="89"/>
    </row>
    <row r="30" spans="1:19" ht="18.75">
      <c r="A30" s="89"/>
      <c r="B30" s="89"/>
      <c r="C30" s="1308" t="s">
        <v>1018</v>
      </c>
      <c r="D30" s="91"/>
      <c r="E30" s="91"/>
      <c r="F30" s="91"/>
      <c r="G30" s="91"/>
      <c r="H30" s="195"/>
      <c r="I30" s="89"/>
      <c r="J30" s="89"/>
      <c r="K30" s="89"/>
      <c r="L30" s="89"/>
      <c r="M30" s="89"/>
      <c r="N30" s="89"/>
      <c r="O30" s="89"/>
    </row>
    <row r="31" spans="1:19" ht="18.75">
      <c r="A31" s="89"/>
      <c r="B31" s="89"/>
      <c r="C31" s="1308" t="s">
        <v>1019</v>
      </c>
      <c r="D31" s="91"/>
      <c r="E31" s="91"/>
      <c r="F31" s="91"/>
      <c r="G31" s="91"/>
      <c r="H31" s="195"/>
      <c r="I31" s="89"/>
      <c r="J31" s="89"/>
      <c r="K31" s="89"/>
      <c r="L31" s="89"/>
      <c r="M31" s="89"/>
      <c r="N31" s="89"/>
      <c r="O31" s="89"/>
    </row>
    <row r="32" spans="1:19" ht="18.75">
      <c r="A32" s="89"/>
      <c r="B32" s="89"/>
      <c r="C32" s="1308" t="s">
        <v>1020</v>
      </c>
      <c r="D32" s="91"/>
      <c r="E32" s="91"/>
      <c r="F32" s="91"/>
      <c r="G32" s="91"/>
      <c r="H32" s="195"/>
      <c r="I32" s="89"/>
      <c r="J32" s="89"/>
      <c r="K32" s="89"/>
      <c r="L32" s="89"/>
      <c r="M32" s="89"/>
      <c r="N32" s="89"/>
      <c r="O32" s="89"/>
    </row>
    <row r="33" spans="1:15" ht="18.75">
      <c r="A33" s="89"/>
      <c r="B33" s="89"/>
      <c r="C33" s="1305"/>
      <c r="D33" s="91"/>
      <c r="E33" s="91"/>
      <c r="F33" s="91"/>
      <c r="G33" s="91"/>
      <c r="H33" s="195"/>
      <c r="I33" s="89"/>
      <c r="J33" s="89"/>
      <c r="K33" s="89"/>
      <c r="L33" s="89"/>
      <c r="M33" s="89"/>
      <c r="N33" s="89"/>
      <c r="O33" s="89"/>
    </row>
    <row r="34" spans="1:15" ht="18.75">
      <c r="A34" s="89"/>
      <c r="B34" s="89"/>
      <c r="C34" s="1304"/>
      <c r="D34" s="91"/>
      <c r="E34" s="91"/>
      <c r="F34" s="91"/>
      <c r="G34" s="91"/>
      <c r="H34" s="195"/>
      <c r="I34" s="89"/>
      <c r="J34" s="89"/>
      <c r="K34" s="89"/>
      <c r="L34" s="89"/>
      <c r="M34" s="89"/>
      <c r="N34" s="89"/>
      <c r="O34" s="89"/>
    </row>
    <row r="35" spans="1:15" ht="18.75">
      <c r="A35" s="89"/>
      <c r="B35" s="89"/>
      <c r="C35" s="1304"/>
      <c r="D35" s="91"/>
      <c r="E35" s="91"/>
      <c r="F35" s="91"/>
      <c r="G35" s="91"/>
      <c r="H35" s="195"/>
      <c r="I35" s="89"/>
      <c r="J35" s="89"/>
      <c r="K35" s="89"/>
      <c r="L35" s="89"/>
      <c r="M35" s="89"/>
      <c r="N35" s="89"/>
      <c r="O35" s="89"/>
    </row>
    <row r="36" spans="1:15" ht="26.25">
      <c r="A36" s="89"/>
      <c r="B36" s="89"/>
      <c r="C36" s="1306" t="s">
        <v>1256</v>
      </c>
      <c r="D36" s="1307"/>
      <c r="E36" s="1307"/>
      <c r="F36" s="1307"/>
      <c r="G36" s="1307"/>
      <c r="H36" s="1307"/>
      <c r="I36" s="1307"/>
      <c r="J36" s="1307"/>
      <c r="K36" s="1307"/>
      <c r="L36" s="1307"/>
      <c r="M36" s="1307"/>
      <c r="N36" s="1307"/>
      <c r="O36" s="89"/>
    </row>
    <row r="37" spans="1:15" ht="18.75">
      <c r="A37" s="89"/>
      <c r="B37" s="89"/>
      <c r="C37" s="216"/>
      <c r="D37" s="216"/>
      <c r="E37" s="91"/>
      <c r="F37" s="91"/>
      <c r="G37" s="91"/>
      <c r="H37" s="195"/>
      <c r="I37" s="89"/>
      <c r="J37" s="89"/>
      <c r="K37" s="89"/>
      <c r="L37" s="89"/>
      <c r="M37" s="89"/>
      <c r="N37" s="89"/>
      <c r="O37" s="89"/>
    </row>
    <row r="38" spans="1:15" ht="18.75">
      <c r="A38" s="89"/>
      <c r="B38" s="89"/>
      <c r="C38" s="1776" t="s">
        <v>1259</v>
      </c>
      <c r="D38" s="216"/>
      <c r="E38" s="1778" t="s">
        <v>1260</v>
      </c>
      <c r="F38" s="91"/>
      <c r="G38" s="91"/>
      <c r="H38" s="195"/>
      <c r="I38" s="89"/>
      <c r="J38" s="89"/>
      <c r="K38" s="89"/>
      <c r="L38" s="89"/>
      <c r="M38" s="89"/>
      <c r="N38" s="89"/>
      <c r="O38" s="89"/>
    </row>
    <row r="39" spans="1:15" ht="18.75">
      <c r="A39" s="89"/>
      <c r="B39" s="89"/>
      <c r="C39" s="1776" t="s">
        <v>1257</v>
      </c>
      <c r="D39" s="216"/>
      <c r="E39" s="1778" t="s">
        <v>1258</v>
      </c>
      <c r="F39" s="91"/>
      <c r="G39" s="91"/>
      <c r="H39" s="195"/>
      <c r="I39" s="89"/>
      <c r="J39" s="89"/>
      <c r="K39" s="89"/>
      <c r="L39" s="89"/>
      <c r="M39" s="89"/>
      <c r="N39" s="89"/>
      <c r="O39" s="89"/>
    </row>
    <row r="40" spans="1:15" ht="18.75">
      <c r="A40" s="89"/>
      <c r="B40" s="89"/>
      <c r="C40" s="1776" t="s">
        <v>1265</v>
      </c>
      <c r="D40" s="216"/>
      <c r="E40" s="1779" t="s">
        <v>1266</v>
      </c>
      <c r="F40" s="91"/>
      <c r="G40" s="91"/>
      <c r="H40" s="195"/>
      <c r="I40" s="89"/>
      <c r="J40" s="89"/>
      <c r="K40" s="89"/>
      <c r="L40" s="89"/>
      <c r="M40" s="89"/>
      <c r="N40" s="89"/>
      <c r="O40" s="89"/>
    </row>
    <row r="41" spans="1:15" ht="18.75">
      <c r="A41" s="89"/>
      <c r="B41" s="89"/>
      <c r="C41" s="216"/>
      <c r="D41" s="216"/>
      <c r="E41" s="91"/>
      <c r="F41" s="91"/>
      <c r="G41" s="91"/>
      <c r="H41" s="195"/>
      <c r="I41" s="89"/>
      <c r="J41" s="89"/>
      <c r="K41" s="89"/>
      <c r="L41" s="89"/>
      <c r="M41" s="89"/>
      <c r="N41" s="89"/>
      <c r="O41" s="89"/>
    </row>
    <row r="42" spans="1:15" ht="18.75">
      <c r="A42" s="89"/>
      <c r="B42" s="89"/>
      <c r="C42" s="1777" t="s">
        <v>1263</v>
      </c>
      <c r="D42" s="216" t="s">
        <v>1261</v>
      </c>
      <c r="E42" s="91"/>
      <c r="F42" s="91"/>
      <c r="G42" s="91"/>
      <c r="H42" s="195"/>
      <c r="I42" s="89"/>
      <c r="J42" s="89"/>
      <c r="K42" s="89"/>
      <c r="L42" s="89"/>
      <c r="M42" s="89"/>
      <c r="N42" s="89"/>
      <c r="O42" s="89"/>
    </row>
    <row r="43" spans="1:15" ht="18.75">
      <c r="A43" s="89"/>
      <c r="B43" s="89"/>
      <c r="C43" s="1777" t="s">
        <v>1263</v>
      </c>
      <c r="D43" s="216" t="s">
        <v>1262</v>
      </c>
      <c r="E43" s="91"/>
      <c r="F43" s="91"/>
      <c r="G43" s="91"/>
      <c r="H43" s="195"/>
      <c r="I43" s="89"/>
      <c r="J43" s="89"/>
      <c r="K43" s="89"/>
      <c r="L43" s="89"/>
      <c r="M43" s="89"/>
      <c r="N43" s="89"/>
      <c r="O43" s="89"/>
    </row>
    <row r="44" spans="1:15" ht="18.75">
      <c r="A44" s="89"/>
      <c r="B44" s="89"/>
      <c r="C44" s="195"/>
      <c r="D44" s="216" t="s">
        <v>1267</v>
      </c>
      <c r="E44" s="91"/>
      <c r="F44" s="91"/>
      <c r="G44" s="91"/>
      <c r="H44" s="195"/>
      <c r="I44" s="89"/>
      <c r="J44" s="89"/>
      <c r="K44" s="89"/>
      <c r="L44" s="89"/>
      <c r="M44" s="89"/>
      <c r="N44" s="89"/>
      <c r="O44" s="89"/>
    </row>
    <row r="45" spans="1:15" ht="18.75">
      <c r="A45" s="89"/>
      <c r="B45" s="89"/>
      <c r="C45" s="1777" t="s">
        <v>1263</v>
      </c>
      <c r="D45" s="216" t="s">
        <v>1264</v>
      </c>
      <c r="E45" s="91"/>
      <c r="F45" s="91"/>
      <c r="G45" s="91"/>
      <c r="H45" s="195"/>
      <c r="I45" s="89"/>
      <c r="J45" s="89"/>
      <c r="K45" s="89"/>
      <c r="L45" s="89"/>
      <c r="M45" s="89"/>
      <c r="N45" s="89"/>
      <c r="O45" s="89"/>
    </row>
    <row r="46" spans="1:15" ht="18.75">
      <c r="A46" s="89"/>
      <c r="B46" s="89"/>
      <c r="C46" s="1776"/>
      <c r="D46" s="216"/>
      <c r="E46" s="91"/>
      <c r="F46" s="91"/>
      <c r="G46" s="91"/>
      <c r="H46" s="195"/>
      <c r="I46" s="89"/>
      <c r="J46" s="89"/>
      <c r="K46" s="89"/>
      <c r="L46" s="89"/>
      <c r="M46" s="89"/>
      <c r="N46" s="89"/>
      <c r="O46" s="89"/>
    </row>
    <row r="47" spans="1:15" ht="18.75">
      <c r="A47" s="89"/>
      <c r="B47" s="89"/>
      <c r="C47" s="1776"/>
      <c r="D47" s="216"/>
      <c r="E47" s="91"/>
      <c r="F47" s="91"/>
      <c r="G47" s="91"/>
      <c r="H47" s="195"/>
      <c r="I47" s="89"/>
      <c r="J47" s="89"/>
      <c r="K47" s="89"/>
      <c r="L47" s="89"/>
      <c r="M47" s="89"/>
      <c r="N47" s="89"/>
      <c r="O47" s="89"/>
    </row>
    <row r="48" spans="1:15" ht="18.75">
      <c r="A48" s="89"/>
      <c r="B48" s="89"/>
      <c r="C48" s="1776"/>
      <c r="D48" s="216"/>
      <c r="E48" s="91"/>
      <c r="F48" s="91"/>
      <c r="G48" s="91"/>
      <c r="H48" s="195"/>
      <c r="I48" s="89"/>
      <c r="J48" s="89"/>
      <c r="K48" s="89"/>
      <c r="L48" s="89"/>
      <c r="M48" s="89"/>
      <c r="N48" s="89"/>
      <c r="O48" s="89"/>
    </row>
    <row r="49" spans="1:15" ht="18.75">
      <c r="A49" s="89"/>
      <c r="B49" s="89"/>
      <c r="C49" s="1776" t="s">
        <v>1259</v>
      </c>
      <c r="D49" s="216"/>
      <c r="E49" s="1778" t="s">
        <v>1277</v>
      </c>
      <c r="F49" s="91"/>
      <c r="G49" s="91"/>
      <c r="H49" s="195"/>
      <c r="I49" s="89"/>
      <c r="J49" s="89"/>
      <c r="K49" s="89"/>
      <c r="L49" s="89"/>
      <c r="M49" s="89"/>
      <c r="N49" s="89"/>
      <c r="O49" s="89"/>
    </row>
    <row r="50" spans="1:15" ht="18.75">
      <c r="A50" s="89"/>
      <c r="B50" s="89"/>
      <c r="C50" s="1776" t="s">
        <v>1257</v>
      </c>
      <c r="D50" s="216"/>
      <c r="E50" s="1778" t="s">
        <v>1268</v>
      </c>
      <c r="F50" s="91"/>
      <c r="G50" s="91"/>
      <c r="H50" s="195"/>
      <c r="I50" s="89"/>
      <c r="J50" s="89"/>
      <c r="K50" s="89"/>
      <c r="L50" s="89"/>
      <c r="M50" s="89"/>
      <c r="N50" s="89"/>
      <c r="O50" s="89"/>
    </row>
    <row r="51" spans="1:15" ht="18.75">
      <c r="A51" s="89"/>
      <c r="B51" s="89"/>
      <c r="C51" s="1776" t="s">
        <v>1265</v>
      </c>
      <c r="D51" s="216"/>
      <c r="E51" s="1779" t="s">
        <v>1269</v>
      </c>
      <c r="F51" s="91"/>
      <c r="G51" s="91"/>
      <c r="H51" s="195"/>
      <c r="I51" s="89"/>
      <c r="J51" s="89"/>
      <c r="K51" s="89"/>
      <c r="L51" s="89"/>
      <c r="M51" s="89"/>
      <c r="N51" s="89"/>
      <c r="O51" s="89"/>
    </row>
    <row r="52" spans="1:15" ht="18.75">
      <c r="A52" s="89"/>
      <c r="B52" s="89"/>
      <c r="C52" s="195"/>
      <c r="D52" s="91"/>
      <c r="E52" s="91"/>
      <c r="F52" s="91"/>
      <c r="G52" s="91"/>
      <c r="H52" s="195"/>
      <c r="I52" s="89"/>
      <c r="J52" s="89"/>
      <c r="K52" s="89"/>
      <c r="L52" s="89"/>
      <c r="M52" s="89"/>
      <c r="N52" s="89"/>
      <c r="O52" s="89"/>
    </row>
    <row r="53" spans="1:15" ht="18.75">
      <c r="A53" s="89"/>
      <c r="B53" s="89"/>
      <c r="C53" s="1777" t="s">
        <v>1263</v>
      </c>
      <c r="D53" s="91" t="s">
        <v>1270</v>
      </c>
      <c r="E53" s="91"/>
      <c r="F53" s="91"/>
      <c r="G53" s="91"/>
      <c r="H53" s="195"/>
      <c r="I53" s="89"/>
      <c r="J53" s="89"/>
      <c r="K53" s="89"/>
      <c r="L53" s="89"/>
      <c r="M53" s="89"/>
      <c r="N53" s="89"/>
      <c r="O53" s="89"/>
    </row>
    <row r="54" spans="1:15" ht="18.75">
      <c r="A54" s="89"/>
      <c r="B54" s="89"/>
      <c r="C54" s="195"/>
      <c r="D54" s="91" t="s">
        <v>1271</v>
      </c>
      <c r="E54" s="91"/>
      <c r="F54" s="91"/>
      <c r="G54" s="91"/>
      <c r="H54" s="195"/>
      <c r="I54" s="89"/>
      <c r="J54" s="89"/>
      <c r="K54" s="89"/>
      <c r="L54" s="89"/>
      <c r="M54" s="89"/>
      <c r="N54" s="89"/>
      <c r="O54" s="89"/>
    </row>
    <row r="55" spans="1:15" ht="18.75">
      <c r="A55" s="89"/>
      <c r="B55" s="89"/>
      <c r="C55" s="1777" t="s">
        <v>1263</v>
      </c>
      <c r="D55" s="91" t="s">
        <v>1272</v>
      </c>
      <c r="E55" s="91"/>
      <c r="F55" s="91"/>
      <c r="G55" s="91"/>
      <c r="H55" s="195"/>
      <c r="I55" s="89"/>
      <c r="J55" s="89"/>
      <c r="K55" s="89"/>
      <c r="L55" s="89"/>
      <c r="M55" s="89"/>
      <c r="N55" s="89"/>
      <c r="O55" s="89"/>
    </row>
    <row r="56" spans="1:15" ht="18.75">
      <c r="A56" s="89"/>
      <c r="B56" s="89"/>
      <c r="C56" s="195"/>
      <c r="D56" s="91" t="s">
        <v>1275</v>
      </c>
      <c r="E56" s="91"/>
      <c r="F56" s="91"/>
      <c r="G56" s="91"/>
      <c r="H56" s="195"/>
      <c r="I56" s="89"/>
      <c r="J56" s="89"/>
      <c r="K56" s="89"/>
      <c r="L56" s="89"/>
      <c r="M56" s="89"/>
      <c r="N56" s="89"/>
      <c r="O56" s="89"/>
    </row>
    <row r="57" spans="1:15" ht="18.75">
      <c r="A57" s="89"/>
      <c r="B57" s="89"/>
      <c r="C57" s="195"/>
      <c r="D57" s="91"/>
      <c r="E57" s="91"/>
      <c r="F57" s="91"/>
      <c r="G57" s="91"/>
      <c r="H57" s="195"/>
      <c r="I57" s="89"/>
      <c r="J57" s="89"/>
      <c r="K57" s="89"/>
      <c r="L57" s="89"/>
      <c r="M57" s="89"/>
      <c r="N57" s="89"/>
      <c r="O57" s="89"/>
    </row>
    <row r="58" spans="1:15" ht="18.75">
      <c r="A58" s="89"/>
      <c r="B58" s="89"/>
      <c r="C58" s="195"/>
      <c r="D58" s="91" t="s">
        <v>1273</v>
      </c>
      <c r="E58" s="91"/>
      <c r="F58" s="91"/>
      <c r="G58" s="91"/>
      <c r="H58" s="195"/>
      <c r="I58" s="89"/>
      <c r="J58" s="89"/>
      <c r="K58" s="89"/>
      <c r="L58" s="89"/>
      <c r="M58" s="89"/>
      <c r="N58" s="89"/>
      <c r="O58" s="89"/>
    </row>
    <row r="59" spans="1:15" ht="18.75">
      <c r="A59" s="89"/>
      <c r="B59" s="89"/>
      <c r="C59" s="195"/>
      <c r="D59" s="91" t="s">
        <v>1274</v>
      </c>
      <c r="E59" s="91"/>
      <c r="F59" s="91"/>
      <c r="G59" s="91"/>
      <c r="H59" s="195"/>
      <c r="I59" s="89"/>
      <c r="J59" s="89"/>
      <c r="K59" s="89"/>
      <c r="L59" s="89"/>
      <c r="M59" s="89"/>
      <c r="N59" s="89"/>
      <c r="O59" s="89"/>
    </row>
    <row r="60" spans="1:15" ht="18.75">
      <c r="A60" s="89"/>
      <c r="B60" s="89"/>
      <c r="C60" s="195"/>
      <c r="D60" s="91"/>
      <c r="E60" s="91"/>
      <c r="F60" s="91"/>
      <c r="G60" s="91"/>
      <c r="H60" s="195"/>
      <c r="I60" s="89"/>
      <c r="J60" s="89"/>
      <c r="K60" s="89"/>
      <c r="L60" s="89"/>
      <c r="M60" s="2150" t="s">
        <v>1276</v>
      </c>
      <c r="N60" s="2150"/>
      <c r="O60" s="2150"/>
    </row>
  </sheetData>
  <sheetProtection algorithmName="SHA-512" hashValue="H278SArB//yZV1NkFE31v7NzTki0rn+CQQMwFKgO4benOQqwwXDpsybsHl6fVv7tHMs7ll8SvNP82xlqRsGmCA==" saltValue="qODD0dn/chnDwxGsr6vfrw==" spinCount="100000" sheet="1" objects="1" scenarios="1" selectLockedCells="1" selectUnlockedCells="1"/>
  <mergeCells count="2">
    <mergeCell ref="D1:J4"/>
    <mergeCell ref="M60:O60"/>
  </mergeCells>
  <hyperlinks>
    <hyperlink ref="M60" r:id="rId1" xr:uid="{57D4D6FC-F6B2-4C65-B207-6DA5B69CDE74}"/>
  </hyperlinks>
  <printOptions horizontalCentered="1"/>
  <pageMargins left="0.19685039370078741" right="0.19685039370078741" top="0.19685039370078741" bottom="0.19685039370078741" header="0.31496062992125984" footer="0.31496062992125984"/>
  <pageSetup paperSize="9" orientation="portrait" r:id="rId2"/>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1511E-C360-4A71-A993-2DB787685C45}">
  <sheetPr codeName="Ark7">
    <tabColor theme="9" tint="0.39997558519241921"/>
    <pageSetUpPr fitToPage="1"/>
  </sheetPr>
  <dimension ref="A1:R164"/>
  <sheetViews>
    <sheetView showRowColHeaders="0" zoomScaleNormal="100" workbookViewId="0">
      <pane ySplit="3" topLeftCell="A4" activePane="bottomLeft" state="frozen"/>
      <selection pane="bottomLeft" activeCell="A4" sqref="A4"/>
    </sheetView>
  </sheetViews>
  <sheetFormatPr defaultColWidth="0" defaultRowHeight="15" zeroHeight="1"/>
  <cols>
    <col min="1" max="1" width="3.140625" customWidth="1"/>
    <col min="2" max="2" width="1.85546875" customWidth="1"/>
    <col min="3" max="7" width="8.7109375" customWidth="1"/>
    <col min="8" max="8" width="2.85546875" customWidth="1"/>
    <col min="9" max="9" width="3.42578125" customWidth="1"/>
    <col min="10" max="10" width="1.85546875" customWidth="1"/>
    <col min="11" max="15" width="8.7109375" customWidth="1"/>
    <col min="16" max="16" width="2.85546875" customWidth="1"/>
    <col min="17" max="17" width="3.85546875" customWidth="1"/>
    <col min="18" max="18" width="0" hidden="1" customWidth="1"/>
    <col min="19" max="16384" width="8.7109375" hidden="1"/>
  </cols>
  <sheetData>
    <row r="1" spans="1:17">
      <c r="A1" s="5"/>
      <c r="B1" s="5"/>
      <c r="C1" s="5"/>
      <c r="D1" s="5"/>
      <c r="E1" s="5"/>
      <c r="F1" s="5"/>
      <c r="G1" s="5"/>
      <c r="H1" s="5"/>
      <c r="I1" s="5"/>
      <c r="J1" s="5"/>
      <c r="K1" s="5"/>
      <c r="L1" s="5"/>
      <c r="M1" s="5"/>
      <c r="N1" s="5"/>
      <c r="O1" s="5"/>
      <c r="P1" s="5"/>
      <c r="Q1" s="5"/>
    </row>
    <row r="2" spans="1:17" ht="18.75">
      <c r="A2" s="5"/>
      <c r="B2" s="5"/>
      <c r="C2" s="2151" t="s">
        <v>211</v>
      </c>
      <c r="D2" s="2151"/>
      <c r="E2" s="2151"/>
      <c r="F2" s="2151"/>
      <c r="G2" s="2151"/>
      <c r="H2" s="2151"/>
      <c r="I2" s="2151"/>
      <c r="J2" s="2151"/>
      <c r="K2" s="2151"/>
      <c r="L2" s="2151"/>
      <c r="M2" s="2151"/>
      <c r="N2" s="2151"/>
      <c r="O2" s="2151"/>
      <c r="P2" s="5"/>
      <c r="Q2" s="5"/>
    </row>
    <row r="3" spans="1:17">
      <c r="A3" s="5"/>
      <c r="B3" s="5"/>
      <c r="C3" s="5"/>
      <c r="D3" s="5"/>
      <c r="E3" s="5"/>
      <c r="F3" s="5"/>
      <c r="G3" s="5"/>
      <c r="H3" s="5"/>
      <c r="I3" s="5"/>
      <c r="J3" s="5"/>
      <c r="K3" s="5"/>
      <c r="L3" s="5"/>
      <c r="M3" s="5"/>
      <c r="N3" s="5"/>
      <c r="O3" s="5"/>
      <c r="P3" s="5"/>
      <c r="Q3" s="5"/>
    </row>
    <row r="4" spans="1:17">
      <c r="A4" s="5"/>
      <c r="B4" s="8"/>
      <c r="C4" s="28" t="s">
        <v>84</v>
      </c>
      <c r="D4" s="9"/>
      <c r="E4" s="9"/>
      <c r="F4" s="9"/>
      <c r="G4" s="9"/>
      <c r="H4" s="10"/>
      <c r="I4" s="5"/>
      <c r="J4" s="8"/>
      <c r="K4" s="28" t="s">
        <v>104</v>
      </c>
      <c r="L4" s="9"/>
      <c r="M4" s="9"/>
      <c r="N4" s="9"/>
      <c r="O4" s="9"/>
      <c r="P4" s="10"/>
      <c r="Q4" s="5"/>
    </row>
    <row r="5" spans="1:17">
      <c r="A5" s="5"/>
      <c r="B5" s="7"/>
      <c r="C5" s="5" t="s">
        <v>113</v>
      </c>
      <c r="D5" s="5"/>
      <c r="E5" s="5"/>
      <c r="F5" s="5"/>
      <c r="G5" s="5"/>
      <c r="H5" s="6"/>
      <c r="I5" s="5"/>
      <c r="J5" s="7"/>
      <c r="K5" s="5" t="s">
        <v>113</v>
      </c>
      <c r="L5" s="5"/>
      <c r="M5" s="5"/>
      <c r="N5" s="5"/>
      <c r="O5" s="5"/>
      <c r="P5" s="6"/>
      <c r="Q5" s="5"/>
    </row>
    <row r="6" spans="1:17">
      <c r="A6" s="5"/>
      <c r="B6" s="7"/>
      <c r="C6" s="5" t="s">
        <v>181</v>
      </c>
      <c r="D6" s="5"/>
      <c r="E6" s="5"/>
      <c r="F6" s="5"/>
      <c r="G6" s="5"/>
      <c r="H6" s="6"/>
      <c r="I6" s="5"/>
      <c r="J6" s="7"/>
      <c r="K6" s="5" t="s">
        <v>105</v>
      </c>
      <c r="L6" s="5"/>
      <c r="M6" s="5"/>
      <c r="N6" s="5"/>
      <c r="O6" s="5"/>
      <c r="P6" s="6"/>
      <c r="Q6" s="5"/>
    </row>
    <row r="7" spans="1:17">
      <c r="A7" s="5"/>
      <c r="B7" s="7"/>
      <c r="C7" s="5" t="s">
        <v>85</v>
      </c>
      <c r="D7" s="5"/>
      <c r="E7" s="5"/>
      <c r="F7" s="5"/>
      <c r="G7" s="5"/>
      <c r="H7" s="6"/>
      <c r="I7" s="5"/>
      <c r="J7" s="7"/>
      <c r="K7" s="5" t="s">
        <v>106</v>
      </c>
      <c r="L7" s="5"/>
      <c r="M7" s="5"/>
      <c r="N7" s="5"/>
      <c r="O7" s="5"/>
      <c r="P7" s="6"/>
      <c r="Q7" s="5"/>
    </row>
    <row r="8" spans="1:17">
      <c r="A8" s="5"/>
      <c r="B8" s="7"/>
      <c r="C8" s="5" t="s">
        <v>86</v>
      </c>
      <c r="D8" s="5"/>
      <c r="E8" s="5"/>
      <c r="F8" s="5"/>
      <c r="G8" s="5"/>
      <c r="H8" s="6"/>
      <c r="I8" s="5"/>
      <c r="J8" s="7"/>
      <c r="K8" s="5" t="s">
        <v>107</v>
      </c>
      <c r="L8" s="5"/>
      <c r="M8" s="5"/>
      <c r="N8" s="5"/>
      <c r="O8" s="5"/>
      <c r="P8" s="6"/>
      <c r="Q8" s="5"/>
    </row>
    <row r="9" spans="1:17">
      <c r="A9" s="5"/>
      <c r="B9" s="7"/>
      <c r="C9" s="5" t="s">
        <v>89</v>
      </c>
      <c r="D9" s="5"/>
      <c r="E9" s="5"/>
      <c r="F9" s="5"/>
      <c r="G9" s="5"/>
      <c r="H9" s="6"/>
      <c r="I9" s="5"/>
      <c r="J9" s="7"/>
      <c r="K9" s="5" t="s">
        <v>92</v>
      </c>
      <c r="L9" s="5"/>
      <c r="M9" s="5"/>
      <c r="N9" s="5"/>
      <c r="O9" s="5"/>
      <c r="P9" s="6"/>
      <c r="Q9" s="5"/>
    </row>
    <row r="10" spans="1:17">
      <c r="A10" s="5"/>
      <c r="B10" s="7"/>
      <c r="C10" s="5" t="s">
        <v>87</v>
      </c>
      <c r="D10" s="5"/>
      <c r="E10" s="5"/>
      <c r="F10" s="5"/>
      <c r="G10" s="5"/>
      <c r="H10" s="6"/>
      <c r="I10" s="5"/>
      <c r="J10" s="7"/>
      <c r="K10" s="5" t="s">
        <v>146</v>
      </c>
      <c r="L10" s="5"/>
      <c r="M10" s="5"/>
      <c r="N10" s="5"/>
      <c r="O10" s="5"/>
      <c r="P10" s="6"/>
      <c r="Q10" s="5"/>
    </row>
    <row r="11" spans="1:17">
      <c r="A11" s="5"/>
      <c r="B11" s="7"/>
      <c r="C11" s="5" t="s">
        <v>88</v>
      </c>
      <c r="D11" s="5"/>
      <c r="E11" s="5"/>
      <c r="F11" s="5"/>
      <c r="G11" s="5"/>
      <c r="H11" s="6"/>
      <c r="I11" s="5"/>
      <c r="J11" s="7"/>
      <c r="K11" s="5" t="s">
        <v>89</v>
      </c>
      <c r="L11" s="5"/>
      <c r="M11" s="5"/>
      <c r="N11" s="5"/>
      <c r="O11" s="5"/>
      <c r="P11" s="6"/>
      <c r="Q11" s="5"/>
    </row>
    <row r="12" spans="1:17">
      <c r="A12" s="5"/>
      <c r="B12" s="7"/>
      <c r="C12" s="5"/>
      <c r="D12" s="5"/>
      <c r="E12" s="5"/>
      <c r="F12" s="5"/>
      <c r="G12" s="5"/>
      <c r="H12" s="6"/>
      <c r="I12" s="5"/>
      <c r="J12" s="7"/>
      <c r="K12" s="5" t="s">
        <v>96</v>
      </c>
      <c r="L12" s="5"/>
      <c r="M12" s="5"/>
      <c r="N12" s="5"/>
      <c r="O12" s="5"/>
      <c r="P12" s="6"/>
      <c r="Q12" s="5"/>
    </row>
    <row r="13" spans="1:17">
      <c r="A13" s="5"/>
      <c r="B13" s="7"/>
      <c r="C13" s="5" t="s">
        <v>90</v>
      </c>
      <c r="D13" s="5"/>
      <c r="E13" s="5"/>
      <c r="F13" s="5"/>
      <c r="G13" s="5"/>
      <c r="H13" s="6"/>
      <c r="I13" s="5"/>
      <c r="J13" s="7"/>
      <c r="K13" s="5" t="s">
        <v>88</v>
      </c>
      <c r="L13" s="5"/>
      <c r="M13" s="5"/>
      <c r="N13" s="5"/>
      <c r="O13" s="5"/>
      <c r="P13" s="6"/>
      <c r="Q13" s="5"/>
    </row>
    <row r="14" spans="1:17">
      <c r="A14" s="5"/>
      <c r="B14" s="7"/>
      <c r="C14" s="5" t="s">
        <v>101</v>
      </c>
      <c r="D14" s="5"/>
      <c r="E14" s="5"/>
      <c r="F14" s="5"/>
      <c r="G14" s="5"/>
      <c r="H14" s="6"/>
      <c r="I14" s="5"/>
      <c r="J14" s="7"/>
      <c r="K14" s="5"/>
      <c r="L14" s="5"/>
      <c r="M14" s="5"/>
      <c r="N14" s="5"/>
      <c r="O14" s="5"/>
      <c r="P14" s="6"/>
      <c r="Q14" s="5"/>
    </row>
    <row r="15" spans="1:17">
      <c r="A15" s="5"/>
      <c r="B15" s="7"/>
      <c r="C15" s="5" t="s">
        <v>102</v>
      </c>
      <c r="D15" s="5"/>
      <c r="E15" s="5"/>
      <c r="F15" s="5"/>
      <c r="G15" s="5"/>
      <c r="H15" s="6"/>
      <c r="I15" s="5"/>
      <c r="J15" s="7"/>
      <c r="K15" s="5" t="s">
        <v>108</v>
      </c>
      <c r="L15" s="5"/>
      <c r="M15" s="5"/>
      <c r="N15" s="5"/>
      <c r="O15" s="5"/>
      <c r="P15" s="6"/>
      <c r="Q15" s="5"/>
    </row>
    <row r="16" spans="1:17">
      <c r="A16" s="5"/>
      <c r="B16" s="7"/>
      <c r="C16" s="5" t="s">
        <v>103</v>
      </c>
      <c r="D16" s="5"/>
      <c r="E16" s="5"/>
      <c r="F16" s="5"/>
      <c r="G16" s="5"/>
      <c r="H16" s="6"/>
      <c r="I16" s="5"/>
      <c r="J16" s="7"/>
      <c r="K16" s="5" t="s">
        <v>109</v>
      </c>
      <c r="L16" s="5"/>
      <c r="M16" s="5"/>
      <c r="N16" s="5"/>
      <c r="O16" s="5"/>
      <c r="P16" s="6"/>
      <c r="Q16" s="5"/>
    </row>
    <row r="17" spans="1:17">
      <c r="A17" s="5"/>
      <c r="B17" s="7"/>
      <c r="C17" s="5" t="s">
        <v>91</v>
      </c>
      <c r="D17" s="5"/>
      <c r="E17" s="5"/>
      <c r="F17" s="5"/>
      <c r="G17" s="5"/>
      <c r="H17" s="6"/>
      <c r="I17" s="5"/>
      <c r="J17" s="7"/>
      <c r="K17" s="5" t="s">
        <v>110</v>
      </c>
      <c r="L17" s="5"/>
      <c r="M17" s="5"/>
      <c r="N17" s="5"/>
      <c r="O17" s="5"/>
      <c r="P17" s="6"/>
      <c r="Q17" s="5"/>
    </row>
    <row r="18" spans="1:17">
      <c r="A18" s="5"/>
      <c r="B18" s="7"/>
      <c r="C18" s="5"/>
      <c r="D18" s="5"/>
      <c r="E18" s="5"/>
      <c r="F18" s="5"/>
      <c r="G18" s="5"/>
      <c r="H18" s="6"/>
      <c r="I18" s="5"/>
      <c r="J18" s="7"/>
      <c r="K18" s="5" t="s">
        <v>111</v>
      </c>
      <c r="L18" s="5"/>
      <c r="M18" s="5"/>
      <c r="N18" s="5"/>
      <c r="O18" s="5"/>
      <c r="P18" s="6"/>
      <c r="Q18" s="5"/>
    </row>
    <row r="19" spans="1:17">
      <c r="A19" s="5"/>
      <c r="B19" s="7"/>
      <c r="C19" s="5"/>
      <c r="D19" s="5"/>
      <c r="E19" s="5"/>
      <c r="F19" s="5"/>
      <c r="G19" s="5"/>
      <c r="H19" s="6"/>
      <c r="I19" s="5"/>
      <c r="J19" s="7"/>
      <c r="K19" s="5" t="s">
        <v>112</v>
      </c>
      <c r="L19" s="5"/>
      <c r="M19" s="5"/>
      <c r="N19" s="5"/>
      <c r="O19" s="5"/>
      <c r="P19" s="6"/>
      <c r="Q19" s="5"/>
    </row>
    <row r="20" spans="1:17">
      <c r="A20" s="5"/>
      <c r="B20" s="7"/>
      <c r="C20" s="5"/>
      <c r="D20" s="5"/>
      <c r="E20" s="5"/>
      <c r="F20" s="5"/>
      <c r="G20" s="5"/>
      <c r="H20" s="6"/>
      <c r="I20" s="5"/>
      <c r="J20" s="7"/>
      <c r="K20" s="5" t="s">
        <v>91</v>
      </c>
      <c r="L20" s="5"/>
      <c r="M20" s="5"/>
      <c r="N20" s="5"/>
      <c r="O20" s="5"/>
      <c r="P20" s="6"/>
      <c r="Q20" s="5"/>
    </row>
    <row r="21" spans="1:17">
      <c r="A21" s="5"/>
      <c r="B21" s="7"/>
      <c r="C21" s="5"/>
      <c r="D21" s="5"/>
      <c r="E21" s="5"/>
      <c r="F21" s="5"/>
      <c r="G21" s="5"/>
      <c r="H21" s="6"/>
      <c r="I21" s="5"/>
      <c r="J21" s="7"/>
      <c r="K21" s="5"/>
      <c r="L21" s="5"/>
      <c r="M21" s="5"/>
      <c r="N21" s="5"/>
      <c r="O21" s="5"/>
      <c r="P21" s="6"/>
      <c r="Q21" s="5"/>
    </row>
    <row r="22" spans="1:17" ht="15.75">
      <c r="A22" s="5"/>
      <c r="B22" s="7"/>
      <c r="C22" s="5"/>
      <c r="D22" s="5"/>
      <c r="E22" s="5"/>
      <c r="F22" s="5"/>
      <c r="G22" s="5"/>
      <c r="H22" s="6"/>
      <c r="I22" s="5"/>
      <c r="J22" s="7"/>
      <c r="K22" s="30"/>
      <c r="L22" s="5"/>
      <c r="M22" s="5"/>
      <c r="N22" s="5"/>
      <c r="O22" s="5"/>
      <c r="P22" s="6"/>
      <c r="Q22" s="5"/>
    </row>
    <row r="23" spans="1:17">
      <c r="A23" s="5"/>
      <c r="B23" s="7"/>
      <c r="C23" s="5"/>
      <c r="D23" s="5"/>
      <c r="E23" s="5"/>
      <c r="F23" s="5"/>
      <c r="G23" s="5"/>
      <c r="H23" s="6"/>
      <c r="I23" s="5"/>
      <c r="J23" s="7"/>
      <c r="K23" s="5"/>
      <c r="L23" s="5"/>
      <c r="M23" s="5"/>
      <c r="N23" s="5"/>
      <c r="O23" s="5"/>
      <c r="P23" s="6"/>
      <c r="Q23" s="5"/>
    </row>
    <row r="24" spans="1:17">
      <c r="A24" s="5"/>
      <c r="B24" s="7"/>
      <c r="C24" s="5"/>
      <c r="D24" s="5"/>
      <c r="E24" s="5"/>
      <c r="F24" s="5"/>
      <c r="G24" s="5"/>
      <c r="H24" s="6"/>
      <c r="I24" s="5"/>
      <c r="J24" s="7"/>
      <c r="K24" s="5"/>
      <c r="L24" s="5"/>
      <c r="M24" s="5"/>
      <c r="N24" s="5"/>
      <c r="O24" s="5"/>
      <c r="P24" s="6"/>
      <c r="Q24" s="5"/>
    </row>
    <row r="25" spans="1:17">
      <c r="A25" s="5"/>
      <c r="B25" s="7"/>
      <c r="C25" s="5"/>
      <c r="D25" s="5"/>
      <c r="E25" s="5"/>
      <c r="F25" s="5"/>
      <c r="G25" s="5"/>
      <c r="H25" s="6"/>
      <c r="I25" s="5"/>
      <c r="J25" s="7"/>
      <c r="K25" s="5"/>
      <c r="L25" s="5"/>
      <c r="M25" s="5"/>
      <c r="N25" s="5"/>
      <c r="O25" s="5"/>
      <c r="P25" s="6"/>
      <c r="Q25" s="5"/>
    </row>
    <row r="26" spans="1:17">
      <c r="A26" s="5"/>
      <c r="B26" s="7"/>
      <c r="C26" s="5"/>
      <c r="D26" s="5"/>
      <c r="E26" s="5"/>
      <c r="F26" s="5"/>
      <c r="G26" s="5"/>
      <c r="H26" s="6"/>
      <c r="I26" s="5"/>
      <c r="J26" s="7"/>
      <c r="K26" s="5"/>
      <c r="L26" s="5"/>
      <c r="M26" s="5"/>
      <c r="N26" s="5"/>
      <c r="O26" s="5"/>
      <c r="P26" s="6"/>
      <c r="Q26" s="5"/>
    </row>
    <row r="27" spans="1:17">
      <c r="A27" s="5"/>
      <c r="B27" s="7"/>
      <c r="C27" s="5"/>
      <c r="D27" s="5"/>
      <c r="E27" s="5"/>
      <c r="F27" s="5"/>
      <c r="G27" s="5"/>
      <c r="H27" s="6"/>
      <c r="I27" s="5"/>
      <c r="J27" s="7"/>
      <c r="K27" s="5"/>
      <c r="L27" s="5"/>
      <c r="M27" s="5"/>
      <c r="N27" s="5"/>
      <c r="O27" s="5"/>
      <c r="P27" s="6"/>
      <c r="Q27" s="5"/>
    </row>
    <row r="28" spans="1:17">
      <c r="A28" s="5"/>
      <c r="B28" s="7"/>
      <c r="C28" s="5"/>
      <c r="D28" s="5"/>
      <c r="E28" s="5"/>
      <c r="F28" s="5"/>
      <c r="G28" s="5"/>
      <c r="H28" s="6"/>
      <c r="I28" s="5"/>
      <c r="J28" s="7"/>
      <c r="K28" s="5"/>
      <c r="L28" s="5"/>
      <c r="M28" s="5"/>
      <c r="N28" s="5"/>
      <c r="O28" s="5"/>
      <c r="P28" s="6"/>
      <c r="Q28" s="5"/>
    </row>
    <row r="29" spans="1:17">
      <c r="A29" s="5"/>
      <c r="B29" s="2"/>
      <c r="C29" s="3"/>
      <c r="D29" s="3"/>
      <c r="E29" s="3"/>
      <c r="F29" s="3"/>
      <c r="G29" s="3"/>
      <c r="H29" s="4"/>
      <c r="I29" s="5"/>
      <c r="J29" s="7"/>
      <c r="K29" s="5"/>
      <c r="L29" s="5"/>
      <c r="M29" s="5"/>
      <c r="N29" s="5"/>
      <c r="O29" s="5"/>
      <c r="P29" s="6"/>
      <c r="Q29" s="5"/>
    </row>
    <row r="30" spans="1:17">
      <c r="A30" s="5"/>
      <c r="B30" s="5"/>
      <c r="C30" s="5"/>
      <c r="D30" s="5"/>
      <c r="E30" s="5"/>
      <c r="F30" s="5"/>
      <c r="G30" s="5"/>
      <c r="H30" s="5"/>
      <c r="I30" s="5"/>
      <c r="J30" s="7"/>
      <c r="K30" s="5"/>
      <c r="L30" s="5"/>
      <c r="M30" s="5"/>
      <c r="N30" s="5"/>
      <c r="O30" s="5"/>
      <c r="P30" s="6"/>
      <c r="Q30" s="5"/>
    </row>
    <row r="31" spans="1:17">
      <c r="A31" s="5"/>
      <c r="B31" s="8"/>
      <c r="C31" s="28" t="s">
        <v>124</v>
      </c>
      <c r="D31" s="9"/>
      <c r="E31" s="9"/>
      <c r="F31" s="9"/>
      <c r="G31" s="9"/>
      <c r="H31" s="10"/>
      <c r="I31" s="5"/>
      <c r="J31" s="7"/>
      <c r="K31" s="5"/>
      <c r="L31" s="5"/>
      <c r="M31" s="5"/>
      <c r="N31" s="5"/>
      <c r="O31" s="5"/>
      <c r="P31" s="6"/>
      <c r="Q31" s="5"/>
    </row>
    <row r="32" spans="1:17">
      <c r="A32" s="5"/>
      <c r="B32" s="7"/>
      <c r="C32" s="5" t="s">
        <v>125</v>
      </c>
      <c r="D32" s="5"/>
      <c r="E32" s="5"/>
      <c r="F32" s="5"/>
      <c r="G32" s="5"/>
      <c r="H32" s="6"/>
      <c r="I32" s="5"/>
      <c r="J32" s="7"/>
      <c r="K32" s="5"/>
      <c r="L32" s="5"/>
      <c r="M32" s="5"/>
      <c r="N32" s="5"/>
      <c r="O32" s="5"/>
      <c r="P32" s="6"/>
      <c r="Q32" s="5"/>
    </row>
    <row r="33" spans="1:17">
      <c r="A33" s="5"/>
      <c r="B33" s="7"/>
      <c r="C33" s="5" t="s">
        <v>126</v>
      </c>
      <c r="D33" s="5"/>
      <c r="E33" s="5"/>
      <c r="F33" s="5"/>
      <c r="G33" s="5"/>
      <c r="H33" s="6"/>
      <c r="I33" s="5"/>
      <c r="J33" s="2"/>
      <c r="K33" s="3"/>
      <c r="L33" s="3"/>
      <c r="M33" s="3"/>
      <c r="N33" s="3"/>
      <c r="O33" s="3"/>
      <c r="P33" s="4"/>
      <c r="Q33" s="5"/>
    </row>
    <row r="34" spans="1:17">
      <c r="A34" s="5"/>
      <c r="B34" s="7"/>
      <c r="C34" s="5" t="s">
        <v>99</v>
      </c>
      <c r="D34" s="5"/>
      <c r="E34" s="5"/>
      <c r="F34" s="5"/>
      <c r="G34" s="5"/>
      <c r="H34" s="6"/>
      <c r="I34" s="5"/>
      <c r="J34" s="5"/>
      <c r="K34" s="5"/>
      <c r="L34" s="5"/>
      <c r="M34" s="5"/>
      <c r="N34" s="5"/>
      <c r="O34" s="5"/>
      <c r="P34" s="5"/>
      <c r="Q34" s="5"/>
    </row>
    <row r="35" spans="1:17">
      <c r="A35" s="5"/>
      <c r="B35" s="7"/>
      <c r="C35" s="5" t="s">
        <v>127</v>
      </c>
      <c r="D35" s="5"/>
      <c r="E35" s="5"/>
      <c r="F35" s="5"/>
      <c r="G35" s="5"/>
      <c r="H35" s="6"/>
      <c r="I35" s="5"/>
      <c r="J35" s="8"/>
      <c r="K35" s="28" t="s">
        <v>114</v>
      </c>
      <c r="L35" s="9"/>
      <c r="M35" s="9"/>
      <c r="N35" s="9"/>
      <c r="O35" s="9"/>
      <c r="P35" s="10"/>
      <c r="Q35" s="5"/>
    </row>
    <row r="36" spans="1:17">
      <c r="A36" s="5"/>
      <c r="B36" s="7"/>
      <c r="C36" s="5" t="s">
        <v>92</v>
      </c>
      <c r="D36" s="5"/>
      <c r="E36" s="5"/>
      <c r="F36" s="5"/>
      <c r="G36" s="5"/>
      <c r="H36" s="6"/>
      <c r="I36" s="5"/>
      <c r="J36" s="7"/>
      <c r="K36" s="5" t="s">
        <v>115</v>
      </c>
      <c r="L36" s="5"/>
      <c r="M36" s="5"/>
      <c r="N36" s="5"/>
      <c r="O36" s="5"/>
      <c r="P36" s="6"/>
      <c r="Q36" s="5"/>
    </row>
    <row r="37" spans="1:17">
      <c r="A37" s="5"/>
      <c r="B37" s="7"/>
      <c r="C37" s="5" t="s">
        <v>128</v>
      </c>
      <c r="D37" s="5"/>
      <c r="E37" s="5"/>
      <c r="F37" s="5"/>
      <c r="G37" s="5"/>
      <c r="H37" s="6"/>
      <c r="I37" s="5"/>
      <c r="J37" s="7"/>
      <c r="K37" s="5" t="s">
        <v>96</v>
      </c>
      <c r="L37" s="5"/>
      <c r="M37" s="5"/>
      <c r="N37" s="5"/>
      <c r="O37" s="5"/>
      <c r="P37" s="6"/>
      <c r="Q37" s="5"/>
    </row>
    <row r="38" spans="1:17">
      <c r="A38" s="5"/>
      <c r="B38" s="7"/>
      <c r="C38" s="5" t="s">
        <v>96</v>
      </c>
      <c r="D38" s="5"/>
      <c r="E38" s="5"/>
      <c r="F38" s="5"/>
      <c r="G38" s="5"/>
      <c r="H38" s="6"/>
      <c r="I38" s="5"/>
      <c r="J38" s="7"/>
      <c r="K38" s="5" t="s">
        <v>116</v>
      </c>
      <c r="L38" s="5"/>
      <c r="M38" s="5"/>
      <c r="N38" s="5"/>
      <c r="O38" s="5"/>
      <c r="P38" s="6"/>
      <c r="Q38" s="5"/>
    </row>
    <row r="39" spans="1:17">
      <c r="A39" s="5"/>
      <c r="B39" s="7"/>
      <c r="C39" s="5" t="s">
        <v>97</v>
      </c>
      <c r="D39" s="5"/>
      <c r="E39" s="5"/>
      <c r="F39" s="5"/>
      <c r="G39" s="5"/>
      <c r="H39" s="6"/>
      <c r="I39" s="5"/>
      <c r="J39" s="7"/>
      <c r="K39" s="5" t="s">
        <v>117</v>
      </c>
      <c r="L39" s="5"/>
      <c r="M39" s="5"/>
      <c r="N39" s="5"/>
      <c r="O39" s="5"/>
      <c r="P39" s="6"/>
      <c r="Q39" s="5"/>
    </row>
    <row r="40" spans="1:17">
      <c r="A40" s="5"/>
      <c r="B40" s="7"/>
      <c r="C40" s="5" t="s">
        <v>88</v>
      </c>
      <c r="D40" s="5"/>
      <c r="E40" s="5"/>
      <c r="F40" s="5"/>
      <c r="G40" s="5"/>
      <c r="H40" s="6"/>
      <c r="I40" s="5"/>
      <c r="J40" s="7"/>
      <c r="K40" s="5" t="s">
        <v>97</v>
      </c>
      <c r="L40" s="5"/>
      <c r="M40" s="5"/>
      <c r="N40" s="5"/>
      <c r="O40" s="5"/>
      <c r="P40" s="6"/>
      <c r="Q40" s="5"/>
    </row>
    <row r="41" spans="1:17">
      <c r="A41" s="5"/>
      <c r="B41" s="7"/>
      <c r="C41" s="5"/>
      <c r="D41" s="5"/>
      <c r="E41" s="5"/>
      <c r="F41" s="5"/>
      <c r="G41" s="5"/>
      <c r="H41" s="6"/>
      <c r="I41" s="5"/>
      <c r="J41" s="7"/>
      <c r="K41" s="5" t="s">
        <v>88</v>
      </c>
      <c r="L41" s="5"/>
      <c r="M41" s="5"/>
      <c r="N41" s="5"/>
      <c r="O41" s="5"/>
      <c r="P41" s="6"/>
      <c r="Q41" s="5"/>
    </row>
    <row r="42" spans="1:17">
      <c r="A42" s="5"/>
      <c r="B42" s="7"/>
      <c r="C42" s="5" t="s">
        <v>129</v>
      </c>
      <c r="D42" s="5"/>
      <c r="E42" s="5"/>
      <c r="F42" s="5"/>
      <c r="G42" s="5"/>
      <c r="H42" s="6"/>
      <c r="I42" s="5"/>
      <c r="J42" s="7"/>
      <c r="K42" s="5" t="s">
        <v>118</v>
      </c>
      <c r="L42" s="5"/>
      <c r="M42" s="5"/>
      <c r="N42" s="5"/>
      <c r="O42" s="5"/>
      <c r="P42" s="6"/>
      <c r="Q42" s="5"/>
    </row>
    <row r="43" spans="1:17">
      <c r="A43" s="5"/>
      <c r="B43" s="7"/>
      <c r="C43" s="5" t="s">
        <v>133</v>
      </c>
      <c r="D43" s="5"/>
      <c r="E43" s="5"/>
      <c r="F43" s="5"/>
      <c r="G43" s="5"/>
      <c r="H43" s="6"/>
      <c r="I43" s="5"/>
      <c r="J43" s="7"/>
      <c r="K43" s="5"/>
      <c r="L43" s="5"/>
      <c r="M43" s="5"/>
      <c r="N43" s="5"/>
      <c r="O43" s="5"/>
      <c r="P43" s="6"/>
      <c r="Q43" s="5"/>
    </row>
    <row r="44" spans="1:17">
      <c r="A44" s="5"/>
      <c r="B44" s="7"/>
      <c r="C44" s="5" t="s">
        <v>130</v>
      </c>
      <c r="D44" s="5"/>
      <c r="E44" s="5"/>
      <c r="F44" s="5"/>
      <c r="G44" s="5"/>
      <c r="H44" s="6"/>
      <c r="I44" s="5"/>
      <c r="J44" s="7"/>
      <c r="K44" s="5" t="s">
        <v>119</v>
      </c>
      <c r="L44" s="5"/>
      <c r="M44" s="5"/>
      <c r="N44" s="5"/>
      <c r="O44" s="5"/>
      <c r="P44" s="6"/>
      <c r="Q44" s="5"/>
    </row>
    <row r="45" spans="1:17">
      <c r="A45" s="5"/>
      <c r="B45" s="7"/>
      <c r="C45" s="5" t="s">
        <v>131</v>
      </c>
      <c r="D45" s="5"/>
      <c r="E45" s="5"/>
      <c r="F45" s="5"/>
      <c r="G45" s="5"/>
      <c r="H45" s="6"/>
      <c r="I45" s="5"/>
      <c r="J45" s="7"/>
      <c r="K45" s="5" t="s">
        <v>120</v>
      </c>
      <c r="L45" s="5"/>
      <c r="M45" s="5"/>
      <c r="N45" s="5"/>
      <c r="O45" s="5"/>
      <c r="P45" s="6"/>
      <c r="Q45" s="5"/>
    </row>
    <row r="46" spans="1:17">
      <c r="A46" s="5"/>
      <c r="B46" s="7"/>
      <c r="C46" s="5" t="s">
        <v>132</v>
      </c>
      <c r="D46" s="5"/>
      <c r="E46" s="5"/>
      <c r="F46" s="5"/>
      <c r="G46" s="5"/>
      <c r="H46" s="6"/>
      <c r="I46" s="5"/>
      <c r="J46" s="7"/>
      <c r="K46" s="5" t="s">
        <v>123</v>
      </c>
      <c r="L46" s="5"/>
      <c r="M46" s="5"/>
      <c r="N46" s="5"/>
      <c r="O46" s="5"/>
      <c r="P46" s="6"/>
      <c r="Q46" s="5"/>
    </row>
    <row r="47" spans="1:17">
      <c r="A47" s="5"/>
      <c r="B47" s="7"/>
      <c r="C47" s="5"/>
      <c r="D47" s="5"/>
      <c r="E47" s="5"/>
      <c r="F47" s="5"/>
      <c r="G47" s="5"/>
      <c r="H47" s="6"/>
      <c r="I47" s="5"/>
      <c r="J47" s="7"/>
      <c r="K47" s="29" t="s">
        <v>121</v>
      </c>
      <c r="L47" s="5"/>
      <c r="M47" s="5"/>
      <c r="N47" s="5"/>
      <c r="O47" s="5"/>
      <c r="P47" s="6"/>
      <c r="Q47" s="5"/>
    </row>
    <row r="48" spans="1:17">
      <c r="A48" s="5"/>
      <c r="B48" s="7"/>
      <c r="C48" s="32"/>
      <c r="D48" s="5"/>
      <c r="E48" s="5"/>
      <c r="F48" s="5"/>
      <c r="G48" s="5"/>
      <c r="H48" s="6"/>
      <c r="I48" s="5"/>
      <c r="J48" s="7"/>
      <c r="K48" s="5" t="s">
        <v>180</v>
      </c>
      <c r="L48" s="5"/>
      <c r="M48" s="5"/>
      <c r="N48" s="5"/>
      <c r="O48" s="5"/>
      <c r="P48" s="6"/>
      <c r="Q48" s="5"/>
    </row>
    <row r="49" spans="1:17">
      <c r="A49" s="5"/>
      <c r="B49" s="7"/>
      <c r="C49" s="5"/>
      <c r="D49" s="5"/>
      <c r="E49" s="5"/>
      <c r="F49" s="5"/>
      <c r="G49" s="5"/>
      <c r="H49" s="6"/>
      <c r="I49" s="5"/>
      <c r="J49" s="7"/>
      <c r="K49" s="5" t="s">
        <v>112</v>
      </c>
      <c r="L49" s="5"/>
      <c r="M49" s="5"/>
      <c r="N49" s="5"/>
      <c r="O49" s="5"/>
      <c r="P49" s="6"/>
      <c r="Q49" s="5"/>
    </row>
    <row r="50" spans="1:17">
      <c r="A50" s="5"/>
      <c r="B50" s="7"/>
      <c r="C50" s="5"/>
      <c r="D50" s="5"/>
      <c r="E50" s="5"/>
      <c r="F50" s="5"/>
      <c r="G50" s="5"/>
      <c r="H50" s="6"/>
      <c r="I50" s="5"/>
      <c r="J50" s="7"/>
      <c r="K50" s="5" t="s">
        <v>122</v>
      </c>
      <c r="L50" s="5"/>
      <c r="M50" s="5"/>
      <c r="N50" s="5"/>
      <c r="O50" s="5"/>
      <c r="P50" s="6"/>
      <c r="Q50" s="5"/>
    </row>
    <row r="51" spans="1:17">
      <c r="A51" s="5"/>
      <c r="B51" s="7"/>
      <c r="C51" s="5"/>
      <c r="D51" s="5"/>
      <c r="E51" s="5"/>
      <c r="F51" s="5"/>
      <c r="G51" s="5"/>
      <c r="H51" s="6"/>
      <c r="I51" s="5"/>
      <c r="J51" s="7"/>
      <c r="K51" s="5"/>
      <c r="L51" s="5"/>
      <c r="M51" s="5"/>
      <c r="N51" s="5"/>
      <c r="O51" s="5"/>
      <c r="P51" s="6"/>
      <c r="Q51" s="5"/>
    </row>
    <row r="52" spans="1:17">
      <c r="A52" s="5"/>
      <c r="B52" s="7"/>
      <c r="C52" s="5"/>
      <c r="D52" s="5"/>
      <c r="E52" s="5"/>
      <c r="F52" s="5"/>
      <c r="G52" s="5"/>
      <c r="H52" s="6"/>
      <c r="I52" s="5"/>
      <c r="J52" s="7"/>
      <c r="K52" s="5"/>
      <c r="L52" s="5"/>
      <c r="M52" s="5"/>
      <c r="N52" s="5"/>
      <c r="O52" s="5"/>
      <c r="P52" s="6"/>
      <c r="Q52" s="5"/>
    </row>
    <row r="53" spans="1:17">
      <c r="A53" s="5"/>
      <c r="B53" s="7"/>
      <c r="C53" s="5"/>
      <c r="D53" s="5"/>
      <c r="E53" s="5"/>
      <c r="F53" s="5"/>
      <c r="G53" s="5"/>
      <c r="H53" s="6"/>
      <c r="I53" s="5"/>
      <c r="J53" s="7"/>
      <c r="K53" s="5"/>
      <c r="L53" s="5"/>
      <c r="M53" s="5"/>
      <c r="N53" s="5"/>
      <c r="O53" s="5"/>
      <c r="P53" s="6"/>
      <c r="Q53" s="5"/>
    </row>
    <row r="54" spans="1:17">
      <c r="A54" s="5"/>
      <c r="B54" s="7"/>
      <c r="C54" s="5"/>
      <c r="D54" s="5"/>
      <c r="E54" s="5"/>
      <c r="F54" s="5"/>
      <c r="G54" s="5"/>
      <c r="H54" s="6"/>
      <c r="I54" s="5"/>
      <c r="J54" s="7"/>
      <c r="K54" s="5"/>
      <c r="L54" s="5"/>
      <c r="M54" s="5"/>
      <c r="N54" s="5"/>
      <c r="O54" s="5"/>
      <c r="P54" s="6"/>
      <c r="Q54" s="5"/>
    </row>
    <row r="55" spans="1:17">
      <c r="A55" s="5"/>
      <c r="B55" s="7"/>
      <c r="C55" s="5"/>
      <c r="D55" s="5"/>
      <c r="E55" s="5"/>
      <c r="F55" s="5"/>
      <c r="G55" s="5"/>
      <c r="H55" s="6"/>
      <c r="I55" s="5"/>
      <c r="J55" s="7"/>
      <c r="K55" s="5"/>
      <c r="L55" s="5"/>
      <c r="M55" s="5"/>
      <c r="N55" s="5"/>
      <c r="O55" s="5"/>
      <c r="P55" s="6"/>
      <c r="Q55" s="5"/>
    </row>
    <row r="56" spans="1:17">
      <c r="A56" s="5"/>
      <c r="B56" s="7"/>
      <c r="C56" s="5"/>
      <c r="D56" s="5"/>
      <c r="E56" s="5"/>
      <c r="F56" s="5"/>
      <c r="G56" s="5"/>
      <c r="H56" s="6"/>
      <c r="I56" s="5"/>
      <c r="J56" s="7"/>
      <c r="K56" s="5"/>
      <c r="L56" s="5"/>
      <c r="M56" s="5"/>
      <c r="N56" s="5"/>
      <c r="O56" s="5"/>
      <c r="P56" s="6"/>
      <c r="Q56" s="5"/>
    </row>
    <row r="57" spans="1:17">
      <c r="A57" s="5"/>
      <c r="B57" s="7"/>
      <c r="C57" s="5"/>
      <c r="D57" s="5"/>
      <c r="E57" s="5"/>
      <c r="F57" s="5"/>
      <c r="G57" s="5"/>
      <c r="H57" s="6"/>
      <c r="I57" s="5"/>
      <c r="J57" s="7"/>
      <c r="K57" s="5"/>
      <c r="L57" s="5"/>
      <c r="M57" s="5"/>
      <c r="N57" s="5"/>
      <c r="O57" s="5"/>
      <c r="P57" s="6"/>
      <c r="Q57" s="5"/>
    </row>
    <row r="58" spans="1:17">
      <c r="A58" s="5"/>
      <c r="B58" s="7"/>
      <c r="C58" s="5"/>
      <c r="D58" s="5"/>
      <c r="E58" s="5"/>
      <c r="F58" s="5"/>
      <c r="G58" s="5"/>
      <c r="H58" s="6"/>
      <c r="I58" s="5"/>
      <c r="J58" s="7"/>
      <c r="K58" s="5"/>
      <c r="L58" s="5"/>
      <c r="M58" s="5"/>
      <c r="N58" s="5"/>
      <c r="O58" s="5"/>
      <c r="P58" s="6"/>
      <c r="Q58" s="5"/>
    </row>
    <row r="59" spans="1:17">
      <c r="A59" s="5"/>
      <c r="B59" s="2"/>
      <c r="C59" s="3"/>
      <c r="D59" s="3"/>
      <c r="E59" s="3"/>
      <c r="F59" s="3"/>
      <c r="G59" s="3"/>
      <c r="H59" s="4"/>
      <c r="I59" s="5"/>
      <c r="J59" s="7"/>
      <c r="K59" s="5"/>
      <c r="L59" s="5"/>
      <c r="M59" s="5"/>
      <c r="N59" s="5"/>
      <c r="O59" s="5"/>
      <c r="P59" s="6"/>
      <c r="Q59" s="5"/>
    </row>
    <row r="60" spans="1:17">
      <c r="A60" s="5"/>
      <c r="B60" s="5"/>
      <c r="C60" s="5"/>
      <c r="D60" s="5"/>
      <c r="E60" s="5"/>
      <c r="F60" s="5"/>
      <c r="G60" s="5"/>
      <c r="H60" s="5"/>
      <c r="I60" s="5"/>
      <c r="J60" s="7"/>
      <c r="K60" s="5"/>
      <c r="L60" s="5"/>
      <c r="M60" s="5"/>
      <c r="N60" s="5"/>
      <c r="O60" s="5"/>
      <c r="P60" s="6"/>
      <c r="Q60" s="5"/>
    </row>
    <row r="61" spans="1:17">
      <c r="A61" s="5"/>
      <c r="B61" s="8"/>
      <c r="C61" s="28" t="s">
        <v>144</v>
      </c>
      <c r="D61" s="9"/>
      <c r="E61" s="9"/>
      <c r="F61" s="9"/>
      <c r="G61" s="9"/>
      <c r="H61" s="10"/>
      <c r="I61" s="5"/>
      <c r="J61" s="7"/>
      <c r="K61" s="5"/>
      <c r="L61" s="5"/>
      <c r="M61" s="5"/>
      <c r="N61" s="5"/>
      <c r="O61" s="5"/>
      <c r="P61" s="6"/>
      <c r="Q61" s="5"/>
    </row>
    <row r="62" spans="1:17">
      <c r="A62" s="5"/>
      <c r="B62" s="7"/>
      <c r="C62" s="5" t="s">
        <v>113</v>
      </c>
      <c r="D62" s="5"/>
      <c r="E62" s="5"/>
      <c r="F62" s="5"/>
      <c r="G62" s="5"/>
      <c r="H62" s="6"/>
      <c r="I62" s="5"/>
      <c r="J62" s="2"/>
      <c r="K62" s="3"/>
      <c r="L62" s="3"/>
      <c r="M62" s="3"/>
      <c r="N62" s="3"/>
      <c r="O62" s="3"/>
      <c r="P62" s="4"/>
      <c r="Q62" s="5"/>
    </row>
    <row r="63" spans="1:17">
      <c r="A63" s="5"/>
      <c r="B63" s="7"/>
      <c r="C63" s="5" t="s">
        <v>141</v>
      </c>
      <c r="D63" s="5"/>
      <c r="E63" s="5"/>
      <c r="F63" s="5"/>
      <c r="G63" s="5"/>
      <c r="H63" s="6"/>
      <c r="I63" s="5"/>
      <c r="J63" s="5"/>
      <c r="K63" s="5"/>
      <c r="L63" s="5"/>
      <c r="M63" s="5"/>
      <c r="N63" s="5"/>
      <c r="O63" s="5"/>
      <c r="P63" s="5"/>
      <c r="Q63" s="5"/>
    </row>
    <row r="64" spans="1:17">
      <c r="A64" s="5"/>
      <c r="B64" s="7"/>
      <c r="C64" s="5" t="s">
        <v>142</v>
      </c>
      <c r="D64" s="5"/>
      <c r="E64" s="5"/>
      <c r="F64" s="5"/>
      <c r="G64" s="5"/>
      <c r="H64" s="6"/>
      <c r="I64" s="5"/>
      <c r="J64" s="8"/>
      <c r="K64" s="28" t="s">
        <v>145</v>
      </c>
      <c r="L64" s="9"/>
      <c r="M64" s="9"/>
      <c r="N64" s="9"/>
      <c r="O64" s="9"/>
      <c r="P64" s="10"/>
      <c r="Q64" s="5"/>
    </row>
    <row r="65" spans="1:17">
      <c r="A65" s="5"/>
      <c r="B65" s="7"/>
      <c r="C65" s="5" t="s">
        <v>117</v>
      </c>
      <c r="D65" s="5"/>
      <c r="E65" s="5"/>
      <c r="F65" s="5"/>
      <c r="G65" s="5"/>
      <c r="H65" s="6"/>
      <c r="I65" s="5"/>
      <c r="J65" s="7"/>
      <c r="K65" s="5" t="s">
        <v>137</v>
      </c>
      <c r="L65" s="5"/>
      <c r="M65" s="5"/>
      <c r="N65" s="5"/>
      <c r="O65" s="5"/>
      <c r="P65" s="6"/>
      <c r="Q65" s="5"/>
    </row>
    <row r="66" spans="1:17">
      <c r="A66" s="5"/>
      <c r="B66" s="7"/>
      <c r="C66" s="5"/>
      <c r="D66" s="5"/>
      <c r="E66" s="5"/>
      <c r="F66" s="5"/>
      <c r="G66" s="5"/>
      <c r="H66" s="6"/>
      <c r="I66" s="5"/>
      <c r="J66" s="7"/>
      <c r="K66" s="5" t="s">
        <v>140</v>
      </c>
      <c r="L66" s="5"/>
      <c r="M66" s="5"/>
      <c r="N66" s="5"/>
      <c r="O66" s="5"/>
      <c r="P66" s="6"/>
      <c r="Q66" s="5"/>
    </row>
    <row r="67" spans="1:17">
      <c r="A67" s="5"/>
      <c r="B67" s="7"/>
      <c r="C67" s="5" t="s">
        <v>143</v>
      </c>
      <c r="D67" s="5"/>
      <c r="E67" s="5"/>
      <c r="F67" s="5"/>
      <c r="G67" s="5"/>
      <c r="H67" s="6"/>
      <c r="I67" s="5"/>
      <c r="J67" s="7"/>
      <c r="K67" s="5" t="s">
        <v>134</v>
      </c>
      <c r="L67" s="5"/>
      <c r="M67" s="5"/>
      <c r="N67" s="5"/>
      <c r="O67" s="5"/>
      <c r="P67" s="6"/>
      <c r="Q67" s="5"/>
    </row>
    <row r="68" spans="1:17">
      <c r="A68" s="5"/>
      <c r="B68" s="7"/>
      <c r="C68" s="5" t="s">
        <v>337</v>
      </c>
      <c r="D68" s="5"/>
      <c r="E68" s="5"/>
      <c r="F68" s="5"/>
      <c r="G68" s="5"/>
      <c r="H68" s="6"/>
      <c r="I68" s="5"/>
      <c r="J68" s="7"/>
      <c r="K68" s="5" t="s">
        <v>92</v>
      </c>
      <c r="L68" s="5"/>
      <c r="M68" s="5"/>
      <c r="N68" s="5"/>
      <c r="O68" s="5"/>
      <c r="P68" s="6"/>
      <c r="Q68" s="5"/>
    </row>
    <row r="69" spans="1:17">
      <c r="A69" s="5"/>
      <c r="B69" s="7"/>
      <c r="C69" s="5" t="s">
        <v>336</v>
      </c>
      <c r="D69" s="5"/>
      <c r="E69" s="5"/>
      <c r="F69" s="5"/>
      <c r="G69" s="5"/>
      <c r="H69" s="6"/>
      <c r="I69" s="5"/>
      <c r="J69" s="7"/>
      <c r="K69" s="5" t="s">
        <v>96</v>
      </c>
      <c r="L69" s="5"/>
      <c r="M69" s="5"/>
      <c r="N69" s="5"/>
      <c r="O69" s="5"/>
      <c r="P69" s="6"/>
      <c r="Q69" s="5"/>
    </row>
    <row r="70" spans="1:17">
      <c r="A70" s="5"/>
      <c r="B70" s="7"/>
      <c r="C70" s="5"/>
      <c r="D70" s="5"/>
      <c r="E70" s="5"/>
      <c r="F70" s="5"/>
      <c r="G70" s="5"/>
      <c r="H70" s="6"/>
      <c r="I70" s="5"/>
      <c r="J70" s="7"/>
      <c r="K70" s="5"/>
      <c r="L70" s="5"/>
      <c r="M70" s="5"/>
      <c r="N70" s="5"/>
      <c r="O70" s="5"/>
      <c r="P70" s="6"/>
      <c r="Q70" s="5"/>
    </row>
    <row r="71" spans="1:17">
      <c r="A71" s="5"/>
      <c r="B71" s="7"/>
      <c r="C71" s="34"/>
      <c r="D71" s="5"/>
      <c r="E71" s="5"/>
      <c r="F71" s="5"/>
      <c r="G71" s="5"/>
      <c r="H71" s="6"/>
      <c r="I71" s="5"/>
      <c r="J71" s="7"/>
      <c r="K71" s="31" t="s">
        <v>135</v>
      </c>
      <c r="L71" s="5"/>
      <c r="M71" s="5"/>
      <c r="N71" s="5"/>
      <c r="O71" s="5"/>
      <c r="P71" s="6"/>
      <c r="Q71" s="5"/>
    </row>
    <row r="72" spans="1:17">
      <c r="A72" s="5"/>
      <c r="B72" s="7"/>
      <c r="C72" s="5"/>
      <c r="D72" s="5"/>
      <c r="E72" s="5"/>
      <c r="F72" s="5"/>
      <c r="G72" s="5"/>
      <c r="H72" s="6"/>
      <c r="I72" s="5"/>
      <c r="J72" s="7"/>
      <c r="K72" s="5" t="s">
        <v>136</v>
      </c>
      <c r="L72" s="5"/>
      <c r="M72" s="5"/>
      <c r="N72" s="5"/>
      <c r="O72" s="5"/>
      <c r="P72" s="6"/>
      <c r="Q72" s="5"/>
    </row>
    <row r="73" spans="1:17">
      <c r="A73" s="5"/>
      <c r="B73" s="7"/>
      <c r="C73" s="5"/>
      <c r="D73" s="5"/>
      <c r="E73" s="5"/>
      <c r="F73" s="5"/>
      <c r="G73" s="5"/>
      <c r="H73" s="6"/>
      <c r="I73" s="5"/>
      <c r="J73" s="7"/>
      <c r="K73" s="5"/>
      <c r="L73" s="5"/>
      <c r="M73" s="5"/>
      <c r="N73" s="5"/>
      <c r="O73" s="5"/>
      <c r="P73" s="6"/>
      <c r="Q73" s="5"/>
    </row>
    <row r="74" spans="1:17">
      <c r="A74" s="5"/>
      <c r="B74" s="7"/>
      <c r="C74" s="5"/>
      <c r="D74" s="5"/>
      <c r="E74" s="5"/>
      <c r="F74" s="5"/>
      <c r="G74" s="5"/>
      <c r="H74" s="6"/>
      <c r="I74" s="5"/>
      <c r="J74" s="7"/>
      <c r="K74" s="5" t="s">
        <v>138</v>
      </c>
      <c r="L74" s="5"/>
      <c r="M74" s="5"/>
      <c r="N74" s="5"/>
      <c r="O74" s="5"/>
      <c r="P74" s="6"/>
      <c r="Q74" s="5"/>
    </row>
    <row r="75" spans="1:17">
      <c r="A75" s="5"/>
      <c r="B75" s="7"/>
      <c r="C75" s="5"/>
      <c r="D75" s="5"/>
      <c r="E75" s="5"/>
      <c r="F75" s="5"/>
      <c r="G75" s="5"/>
      <c r="H75" s="6"/>
      <c r="I75" s="5"/>
      <c r="J75" s="7"/>
      <c r="K75" s="5" t="s">
        <v>139</v>
      </c>
      <c r="L75" s="5"/>
      <c r="M75" s="5"/>
      <c r="N75" s="5"/>
      <c r="O75" s="5"/>
      <c r="P75" s="6"/>
      <c r="Q75" s="5"/>
    </row>
    <row r="76" spans="1:17">
      <c r="A76" s="5"/>
      <c r="B76" s="7"/>
      <c r="C76" s="5"/>
      <c r="D76" s="5"/>
      <c r="E76" s="5"/>
      <c r="F76" s="5"/>
      <c r="G76" s="5"/>
      <c r="H76" s="6"/>
      <c r="I76" s="5"/>
      <c r="J76" s="7"/>
      <c r="K76" s="5"/>
      <c r="L76" s="5"/>
      <c r="M76" s="5"/>
      <c r="N76" s="5"/>
      <c r="O76" s="5"/>
      <c r="P76" s="6"/>
      <c r="Q76" s="5"/>
    </row>
    <row r="77" spans="1:17">
      <c r="A77" s="5"/>
      <c r="B77" s="7"/>
      <c r="C77" s="5"/>
      <c r="D77" s="5"/>
      <c r="E77" s="5"/>
      <c r="F77" s="5"/>
      <c r="G77" s="5"/>
      <c r="H77" s="6"/>
      <c r="I77" s="5"/>
      <c r="J77" s="7"/>
      <c r="K77" s="33"/>
      <c r="L77" s="5"/>
      <c r="M77" s="5"/>
      <c r="N77" s="5"/>
      <c r="O77" s="5"/>
      <c r="P77" s="6"/>
      <c r="Q77" s="5"/>
    </row>
    <row r="78" spans="1:17">
      <c r="A78" s="5"/>
      <c r="B78" s="7"/>
      <c r="C78" s="5"/>
      <c r="D78" s="5"/>
      <c r="E78" s="5"/>
      <c r="F78" s="5"/>
      <c r="G78" s="5"/>
      <c r="H78" s="6"/>
      <c r="I78" s="5"/>
      <c r="J78" s="7"/>
      <c r="K78" s="5"/>
      <c r="L78" s="5"/>
      <c r="M78" s="5"/>
      <c r="N78" s="5"/>
      <c r="O78" s="5"/>
      <c r="P78" s="6"/>
      <c r="Q78" s="5"/>
    </row>
    <row r="79" spans="1:17">
      <c r="A79" s="5"/>
      <c r="B79" s="7"/>
      <c r="C79" s="5"/>
      <c r="D79" s="5"/>
      <c r="E79" s="5"/>
      <c r="F79" s="5"/>
      <c r="G79" s="5"/>
      <c r="H79" s="6"/>
      <c r="I79" s="5"/>
      <c r="J79" s="7"/>
      <c r="K79" s="5"/>
      <c r="L79" s="5"/>
      <c r="M79" s="5"/>
      <c r="N79" s="5"/>
      <c r="O79" s="5"/>
      <c r="P79" s="6"/>
      <c r="Q79" s="5"/>
    </row>
    <row r="80" spans="1:17">
      <c r="A80" s="5"/>
      <c r="B80" s="7"/>
      <c r="C80" s="5"/>
      <c r="D80" s="5"/>
      <c r="E80" s="5"/>
      <c r="F80" s="5"/>
      <c r="G80" s="5"/>
      <c r="H80" s="6"/>
      <c r="I80" s="5"/>
      <c r="J80" s="7"/>
      <c r="K80" s="5"/>
      <c r="L80" s="5"/>
      <c r="M80" s="5"/>
      <c r="N80" s="5"/>
      <c r="O80" s="5"/>
      <c r="P80" s="6"/>
      <c r="Q80" s="5"/>
    </row>
    <row r="81" spans="1:17">
      <c r="A81" s="5"/>
      <c r="B81" s="2"/>
      <c r="C81" s="3"/>
      <c r="D81" s="3"/>
      <c r="E81" s="3"/>
      <c r="F81" s="3"/>
      <c r="G81" s="3"/>
      <c r="H81" s="4"/>
      <c r="I81" s="5"/>
      <c r="J81" s="7"/>
      <c r="K81" s="5"/>
      <c r="L81" s="5"/>
      <c r="M81" s="5"/>
      <c r="N81" s="5"/>
      <c r="O81" s="5"/>
      <c r="P81" s="6"/>
      <c r="Q81" s="5"/>
    </row>
    <row r="82" spans="1:17">
      <c r="A82" s="5"/>
      <c r="B82" s="5"/>
      <c r="C82" s="5"/>
      <c r="D82" s="5"/>
      <c r="E82" s="5"/>
      <c r="F82" s="5"/>
      <c r="G82" s="5"/>
      <c r="H82" s="5"/>
      <c r="I82" s="5"/>
      <c r="J82" s="7"/>
      <c r="K82" s="5"/>
      <c r="L82" s="5"/>
      <c r="M82" s="5"/>
      <c r="N82" s="5"/>
      <c r="O82" s="5"/>
      <c r="P82" s="6"/>
      <c r="Q82" s="5"/>
    </row>
    <row r="83" spans="1:17">
      <c r="A83" s="5"/>
      <c r="B83" s="8"/>
      <c r="C83" s="28" t="s">
        <v>151</v>
      </c>
      <c r="D83" s="9"/>
      <c r="E83" s="9"/>
      <c r="F83" s="9"/>
      <c r="G83" s="9"/>
      <c r="H83" s="10"/>
      <c r="I83" s="5"/>
      <c r="J83" s="7"/>
      <c r="K83" s="5"/>
      <c r="L83" s="5"/>
      <c r="M83" s="5"/>
      <c r="N83" s="5"/>
      <c r="O83" s="5"/>
      <c r="P83" s="6"/>
      <c r="Q83" s="5"/>
    </row>
    <row r="84" spans="1:17">
      <c r="A84" s="5"/>
      <c r="B84" s="7"/>
      <c r="C84" s="5" t="s">
        <v>113</v>
      </c>
      <c r="D84" s="5"/>
      <c r="E84" s="5"/>
      <c r="F84" s="5"/>
      <c r="G84" s="5"/>
      <c r="H84" s="6"/>
      <c r="I84" s="5"/>
      <c r="J84" s="7"/>
      <c r="K84" s="5"/>
      <c r="L84" s="5"/>
      <c r="M84" s="5"/>
      <c r="N84" s="5"/>
      <c r="O84" s="5"/>
      <c r="P84" s="6"/>
      <c r="Q84" s="5"/>
    </row>
    <row r="85" spans="1:17">
      <c r="A85" s="5"/>
      <c r="B85" s="7"/>
      <c r="C85" s="5" t="s">
        <v>99</v>
      </c>
      <c r="D85" s="5"/>
      <c r="E85" s="5"/>
      <c r="F85" s="5"/>
      <c r="G85" s="5"/>
      <c r="H85" s="6"/>
      <c r="I85" s="5"/>
      <c r="J85" s="7"/>
      <c r="K85" s="5"/>
      <c r="L85" s="5"/>
      <c r="M85" s="5"/>
      <c r="N85" s="5"/>
      <c r="O85" s="5"/>
      <c r="P85" s="6"/>
      <c r="Q85" s="5"/>
    </row>
    <row r="86" spans="1:17">
      <c r="A86" s="5"/>
      <c r="B86" s="7"/>
      <c r="C86" s="5" t="s">
        <v>155</v>
      </c>
      <c r="D86" s="5"/>
      <c r="E86" s="5"/>
      <c r="F86" s="5"/>
      <c r="G86" s="5"/>
      <c r="H86" s="6"/>
      <c r="I86" s="5"/>
      <c r="J86" s="2"/>
      <c r="K86" s="3"/>
      <c r="L86" s="3"/>
      <c r="M86" s="3"/>
      <c r="N86" s="3"/>
      <c r="O86" s="3"/>
      <c r="P86" s="4"/>
      <c r="Q86" s="5"/>
    </row>
    <row r="87" spans="1:17">
      <c r="A87" s="5"/>
      <c r="B87" s="7"/>
      <c r="C87" s="5" t="s">
        <v>152</v>
      </c>
      <c r="D87" s="5"/>
      <c r="E87" s="5"/>
      <c r="F87" s="5"/>
      <c r="G87" s="5"/>
      <c r="H87" s="6"/>
      <c r="I87" s="5"/>
      <c r="J87" s="5"/>
      <c r="K87" s="5"/>
      <c r="L87" s="5"/>
      <c r="M87" s="5"/>
      <c r="N87" s="5"/>
      <c r="O87" s="5"/>
      <c r="P87" s="5"/>
      <c r="Q87" s="5"/>
    </row>
    <row r="88" spans="1:17">
      <c r="A88" s="5"/>
      <c r="B88" s="7"/>
      <c r="C88" s="5" t="s">
        <v>153</v>
      </c>
      <c r="D88" s="5"/>
      <c r="E88" s="5"/>
      <c r="F88" s="5"/>
      <c r="G88" s="5"/>
      <c r="H88" s="6"/>
      <c r="I88" s="5"/>
      <c r="J88" s="8"/>
      <c r="K88" s="28" t="s">
        <v>150</v>
      </c>
      <c r="L88" s="9"/>
      <c r="M88" s="9"/>
      <c r="N88" s="9"/>
      <c r="O88" s="9"/>
      <c r="P88" s="10"/>
      <c r="Q88" s="5"/>
    </row>
    <row r="89" spans="1:17">
      <c r="A89" s="5"/>
      <c r="B89" s="7"/>
      <c r="C89" s="5" t="s">
        <v>154</v>
      </c>
      <c r="D89" s="5"/>
      <c r="E89" s="5"/>
      <c r="F89" s="5"/>
      <c r="G89" s="5"/>
      <c r="H89" s="6"/>
      <c r="I89" s="5"/>
      <c r="J89" s="7"/>
      <c r="K89" s="5" t="s">
        <v>113</v>
      </c>
      <c r="L89" s="5"/>
      <c r="M89" s="5"/>
      <c r="N89" s="5"/>
      <c r="O89" s="5"/>
      <c r="P89" s="6"/>
      <c r="Q89" s="5"/>
    </row>
    <row r="90" spans="1:17">
      <c r="A90" s="5"/>
      <c r="B90" s="7"/>
      <c r="C90" s="5"/>
      <c r="D90" s="5"/>
      <c r="E90" s="5"/>
      <c r="F90" s="5"/>
      <c r="G90" s="5"/>
      <c r="H90" s="6"/>
      <c r="I90" s="5"/>
      <c r="J90" s="7"/>
      <c r="K90" s="5" t="s">
        <v>161</v>
      </c>
      <c r="L90" s="5"/>
      <c r="M90" s="5"/>
      <c r="N90" s="5"/>
      <c r="O90" s="5"/>
      <c r="P90" s="6"/>
      <c r="Q90" s="5"/>
    </row>
    <row r="91" spans="1:17">
      <c r="A91" s="5"/>
      <c r="B91" s="7"/>
      <c r="C91" s="5" t="s">
        <v>157</v>
      </c>
      <c r="D91" s="5"/>
      <c r="E91" s="5"/>
      <c r="F91" s="5"/>
      <c r="G91" s="5"/>
      <c r="H91" s="6"/>
      <c r="I91" s="5"/>
      <c r="J91" s="7"/>
      <c r="K91" s="5" t="s">
        <v>147</v>
      </c>
      <c r="L91" s="5"/>
      <c r="M91" s="5"/>
      <c r="N91" s="5"/>
      <c r="O91" s="5"/>
      <c r="P91" s="6"/>
      <c r="Q91" s="5"/>
    </row>
    <row r="92" spans="1:17">
      <c r="A92" s="5"/>
      <c r="B92" s="7"/>
      <c r="C92" s="5" t="s">
        <v>158</v>
      </c>
      <c r="D92" s="5"/>
      <c r="E92" s="5"/>
      <c r="F92" s="5"/>
      <c r="G92" s="5"/>
      <c r="H92" s="6"/>
      <c r="I92" s="5"/>
      <c r="J92" s="7"/>
      <c r="K92" s="5" t="s">
        <v>107</v>
      </c>
      <c r="L92" s="5"/>
      <c r="M92" s="5"/>
      <c r="N92" s="5"/>
      <c r="O92" s="5"/>
      <c r="P92" s="6"/>
      <c r="Q92" s="5"/>
    </row>
    <row r="93" spans="1:17">
      <c r="A93" s="5"/>
      <c r="B93" s="7"/>
      <c r="C93" s="5" t="s">
        <v>159</v>
      </c>
      <c r="D93" s="5"/>
      <c r="E93" s="5"/>
      <c r="F93" s="5"/>
      <c r="G93" s="5"/>
      <c r="H93" s="6"/>
      <c r="I93" s="5"/>
      <c r="J93" s="7"/>
      <c r="K93" s="5"/>
      <c r="L93" s="5"/>
      <c r="M93" s="5"/>
      <c r="N93" s="5"/>
      <c r="O93" s="5"/>
      <c r="P93" s="6"/>
      <c r="Q93" s="5"/>
    </row>
    <row r="94" spans="1:17">
      <c r="A94" s="5"/>
      <c r="B94" s="7"/>
      <c r="C94" s="5" t="s">
        <v>168</v>
      </c>
      <c r="D94" s="5"/>
      <c r="E94" s="5"/>
      <c r="F94" s="5"/>
      <c r="G94" s="5"/>
      <c r="H94" s="6"/>
      <c r="I94" s="5"/>
      <c r="J94" s="7"/>
      <c r="K94" s="5" t="s">
        <v>156</v>
      </c>
      <c r="L94" s="5"/>
      <c r="M94" s="5"/>
      <c r="N94" s="5"/>
      <c r="O94" s="5"/>
      <c r="P94" s="6"/>
      <c r="Q94" s="5"/>
    </row>
    <row r="95" spans="1:17">
      <c r="A95" s="5"/>
      <c r="B95" s="7"/>
      <c r="C95" s="5"/>
      <c r="D95" s="5"/>
      <c r="E95" s="5"/>
      <c r="F95" s="5"/>
      <c r="G95" s="5"/>
      <c r="H95" s="6"/>
      <c r="I95" s="5"/>
      <c r="J95" s="7"/>
      <c r="K95" s="5" t="s">
        <v>148</v>
      </c>
      <c r="L95" s="5"/>
      <c r="M95" s="5"/>
      <c r="N95" s="5"/>
      <c r="O95" s="5"/>
      <c r="P95" s="6"/>
      <c r="Q95" s="5"/>
    </row>
    <row r="96" spans="1:17" ht="15.75">
      <c r="A96" s="5"/>
      <c r="B96" s="7"/>
      <c r="C96" s="30"/>
      <c r="D96" s="5"/>
      <c r="E96" s="5"/>
      <c r="F96" s="5"/>
      <c r="G96" s="5"/>
      <c r="H96" s="6"/>
      <c r="I96" s="5"/>
      <c r="J96" s="7"/>
      <c r="K96" s="5" t="s">
        <v>149</v>
      </c>
      <c r="L96" s="5"/>
      <c r="M96" s="5"/>
      <c r="N96" s="5"/>
      <c r="O96" s="5"/>
      <c r="P96" s="6"/>
      <c r="Q96" s="5"/>
    </row>
    <row r="97" spans="1:17">
      <c r="A97" s="5"/>
      <c r="B97" s="7"/>
      <c r="C97" s="5"/>
      <c r="D97" s="5"/>
      <c r="E97" s="5"/>
      <c r="F97" s="5"/>
      <c r="G97" s="5"/>
      <c r="H97" s="6"/>
      <c r="I97" s="5"/>
      <c r="J97" s="7"/>
      <c r="K97" s="5"/>
      <c r="L97" s="5"/>
      <c r="M97" s="5"/>
      <c r="N97" s="5"/>
      <c r="O97" s="5"/>
      <c r="P97" s="6"/>
      <c r="Q97" s="5"/>
    </row>
    <row r="98" spans="1:17">
      <c r="A98" s="5"/>
      <c r="B98" s="7"/>
      <c r="C98" s="5"/>
      <c r="D98" s="5"/>
      <c r="E98" s="5"/>
      <c r="F98" s="5"/>
      <c r="G98" s="5"/>
      <c r="H98" s="6"/>
      <c r="I98" s="5"/>
      <c r="J98" s="7"/>
      <c r="K98" s="35"/>
      <c r="L98" s="5"/>
      <c r="M98" s="5"/>
      <c r="N98" s="5"/>
      <c r="O98" s="5"/>
      <c r="P98" s="6"/>
      <c r="Q98" s="5"/>
    </row>
    <row r="99" spans="1:17">
      <c r="A99" s="5"/>
      <c r="B99" s="7"/>
      <c r="C99" s="5"/>
      <c r="D99" s="5"/>
      <c r="E99" s="5"/>
      <c r="F99" s="5"/>
      <c r="G99" s="5"/>
      <c r="H99" s="6"/>
      <c r="I99" s="5"/>
      <c r="J99" s="7"/>
      <c r="K99" s="5"/>
      <c r="L99" s="5"/>
      <c r="M99" s="5"/>
      <c r="N99" s="5"/>
      <c r="O99" s="5"/>
      <c r="P99" s="6"/>
      <c r="Q99" s="5"/>
    </row>
    <row r="100" spans="1:17">
      <c r="A100" s="5"/>
      <c r="B100" s="7"/>
      <c r="C100" s="5"/>
      <c r="D100" s="5"/>
      <c r="E100" s="5"/>
      <c r="F100" s="5"/>
      <c r="G100" s="5"/>
      <c r="H100" s="6"/>
      <c r="I100" s="5"/>
      <c r="J100" s="7"/>
      <c r="K100" s="5"/>
      <c r="L100" s="5"/>
      <c r="M100" s="5"/>
      <c r="N100" s="5"/>
      <c r="O100" s="5"/>
      <c r="P100" s="6"/>
      <c r="Q100" s="5"/>
    </row>
    <row r="101" spans="1:17">
      <c r="A101" s="5"/>
      <c r="B101" s="7"/>
      <c r="C101" s="5"/>
      <c r="D101" s="5"/>
      <c r="E101" s="5"/>
      <c r="F101" s="5"/>
      <c r="G101" s="5"/>
      <c r="H101" s="6"/>
      <c r="I101" s="5"/>
      <c r="J101" s="7"/>
      <c r="K101" s="5"/>
      <c r="L101" s="5"/>
      <c r="M101" s="5"/>
      <c r="N101" s="5"/>
      <c r="O101" s="5"/>
      <c r="P101" s="6"/>
      <c r="Q101" s="5"/>
    </row>
    <row r="102" spans="1:17">
      <c r="A102" s="5"/>
      <c r="B102" s="7"/>
      <c r="C102" s="5"/>
      <c r="D102" s="5"/>
      <c r="E102" s="5"/>
      <c r="F102" s="5"/>
      <c r="G102" s="5"/>
      <c r="H102" s="6"/>
      <c r="I102" s="5"/>
      <c r="J102" s="7"/>
      <c r="K102" s="5"/>
      <c r="L102" s="5"/>
      <c r="M102" s="5"/>
      <c r="N102" s="5"/>
      <c r="O102" s="5"/>
      <c r="P102" s="6"/>
      <c r="Q102" s="5"/>
    </row>
    <row r="103" spans="1:17">
      <c r="A103" s="5"/>
      <c r="B103" s="7"/>
      <c r="C103" s="5"/>
      <c r="D103" s="5"/>
      <c r="E103" s="5"/>
      <c r="F103" s="5"/>
      <c r="G103" s="5"/>
      <c r="H103" s="6"/>
      <c r="I103" s="5"/>
      <c r="J103" s="7"/>
      <c r="K103" s="5"/>
      <c r="L103" s="5"/>
      <c r="M103" s="5"/>
      <c r="N103" s="5"/>
      <c r="O103" s="5"/>
      <c r="P103" s="6"/>
      <c r="Q103" s="5"/>
    </row>
    <row r="104" spans="1:17">
      <c r="A104" s="5"/>
      <c r="B104" s="7"/>
      <c r="C104" s="5"/>
      <c r="D104" s="5"/>
      <c r="E104" s="5"/>
      <c r="F104" s="5"/>
      <c r="G104" s="5"/>
      <c r="H104" s="6"/>
      <c r="I104" s="5"/>
      <c r="J104" s="7"/>
      <c r="K104" s="5"/>
      <c r="L104" s="5"/>
      <c r="M104" s="5"/>
      <c r="N104" s="5"/>
      <c r="O104" s="5"/>
      <c r="P104" s="6"/>
      <c r="Q104" s="5"/>
    </row>
    <row r="105" spans="1:17">
      <c r="A105" s="5"/>
      <c r="B105" s="7"/>
      <c r="C105" s="5"/>
      <c r="D105" s="5"/>
      <c r="E105" s="5"/>
      <c r="F105" s="5"/>
      <c r="G105" s="5"/>
      <c r="H105" s="6"/>
      <c r="I105" s="5"/>
      <c r="J105" s="7"/>
      <c r="K105" s="5"/>
      <c r="L105" s="5"/>
      <c r="M105" s="5"/>
      <c r="N105" s="5"/>
      <c r="O105" s="5"/>
      <c r="P105" s="6"/>
      <c r="Q105" s="5"/>
    </row>
    <row r="106" spans="1:17">
      <c r="A106" s="5"/>
      <c r="B106" s="2"/>
      <c r="C106" s="3"/>
      <c r="D106" s="3"/>
      <c r="E106" s="3"/>
      <c r="F106" s="3"/>
      <c r="G106" s="3"/>
      <c r="H106" s="4"/>
      <c r="I106" s="5"/>
      <c r="J106" s="7"/>
      <c r="K106" s="5"/>
      <c r="L106" s="5"/>
      <c r="M106" s="5"/>
      <c r="N106" s="5"/>
      <c r="O106" s="5"/>
      <c r="P106" s="6"/>
      <c r="Q106" s="5"/>
    </row>
    <row r="107" spans="1:17">
      <c r="A107" s="5"/>
      <c r="B107" s="5"/>
      <c r="C107" s="5"/>
      <c r="D107" s="5"/>
      <c r="E107" s="5"/>
      <c r="F107" s="5"/>
      <c r="G107" s="5"/>
      <c r="H107" s="5"/>
      <c r="I107" s="5"/>
      <c r="J107" s="7"/>
      <c r="K107" s="5"/>
      <c r="L107" s="5"/>
      <c r="M107" s="5"/>
      <c r="N107" s="5"/>
      <c r="O107" s="5"/>
      <c r="P107" s="6"/>
      <c r="Q107" s="5"/>
    </row>
    <row r="108" spans="1:17">
      <c r="A108" s="5"/>
      <c r="B108" s="8"/>
      <c r="C108" s="28" t="s">
        <v>160</v>
      </c>
      <c r="D108" s="9"/>
      <c r="E108" s="9"/>
      <c r="F108" s="9"/>
      <c r="G108" s="9"/>
      <c r="H108" s="10"/>
      <c r="I108" s="5"/>
      <c r="J108" s="7"/>
      <c r="K108" s="5"/>
      <c r="L108" s="5"/>
      <c r="M108" s="5"/>
      <c r="N108" s="5"/>
      <c r="O108" s="5"/>
      <c r="P108" s="6"/>
      <c r="Q108" s="5"/>
    </row>
    <row r="109" spans="1:17">
      <c r="A109" s="5"/>
      <c r="B109" s="7"/>
      <c r="C109" s="5" t="s">
        <v>113</v>
      </c>
      <c r="D109" s="5"/>
      <c r="E109" s="5"/>
      <c r="F109" s="5"/>
      <c r="G109" s="5"/>
      <c r="H109" s="6"/>
      <c r="I109" s="5"/>
      <c r="J109" s="2"/>
      <c r="K109" s="3"/>
      <c r="L109" s="3"/>
      <c r="M109" s="3"/>
      <c r="N109" s="3"/>
      <c r="O109" s="3"/>
      <c r="P109" s="4"/>
      <c r="Q109" s="5"/>
    </row>
    <row r="110" spans="1:17">
      <c r="A110" s="5"/>
      <c r="B110" s="7"/>
      <c r="C110" s="5" t="s">
        <v>134</v>
      </c>
      <c r="D110" s="5"/>
      <c r="E110" s="5"/>
      <c r="F110" s="5"/>
      <c r="G110" s="5"/>
      <c r="H110" s="6"/>
      <c r="I110" s="5"/>
      <c r="J110" s="5"/>
      <c r="K110" s="5"/>
      <c r="L110" s="5"/>
      <c r="M110" s="5"/>
      <c r="N110" s="5"/>
      <c r="O110" s="5"/>
      <c r="P110" s="5"/>
      <c r="Q110" s="5"/>
    </row>
    <row r="111" spans="1:17">
      <c r="A111" s="5"/>
      <c r="B111" s="7"/>
      <c r="C111" s="5" t="s">
        <v>89</v>
      </c>
      <c r="D111" s="5"/>
      <c r="E111" s="5"/>
      <c r="F111" s="5"/>
      <c r="G111" s="5"/>
      <c r="H111" s="6"/>
      <c r="I111" s="5"/>
      <c r="J111" s="8"/>
      <c r="K111" s="28" t="s">
        <v>163</v>
      </c>
      <c r="L111" s="9"/>
      <c r="M111" s="9"/>
      <c r="N111" s="9"/>
      <c r="O111" s="9"/>
      <c r="P111" s="10"/>
      <c r="Q111" s="5"/>
    </row>
    <row r="112" spans="1:17">
      <c r="A112" s="5"/>
      <c r="B112" s="7"/>
      <c r="C112" s="5"/>
      <c r="D112" s="5"/>
      <c r="E112" s="5"/>
      <c r="F112" s="5"/>
      <c r="G112" s="5"/>
      <c r="H112" s="6"/>
      <c r="I112" s="5"/>
      <c r="J112" s="7"/>
      <c r="K112" s="5" t="s">
        <v>113</v>
      </c>
      <c r="L112" s="5"/>
      <c r="M112" s="5"/>
      <c r="N112" s="5"/>
      <c r="O112" s="5"/>
      <c r="P112" s="6"/>
      <c r="Q112" s="5"/>
    </row>
    <row r="113" spans="1:17">
      <c r="A113" s="5"/>
      <c r="B113" s="7"/>
      <c r="C113" s="5" t="s">
        <v>156</v>
      </c>
      <c r="D113" s="5"/>
      <c r="E113" s="5"/>
      <c r="F113" s="5"/>
      <c r="G113" s="5"/>
      <c r="H113" s="6"/>
      <c r="I113" s="5"/>
      <c r="J113" s="7"/>
      <c r="K113" s="5" t="s">
        <v>92</v>
      </c>
      <c r="L113" s="5"/>
      <c r="M113" s="5"/>
      <c r="N113" s="5"/>
      <c r="O113" s="5"/>
      <c r="P113" s="6"/>
      <c r="Q113" s="5"/>
    </row>
    <row r="114" spans="1:17">
      <c r="A114" s="5"/>
      <c r="B114" s="7"/>
      <c r="C114" s="5" t="s">
        <v>162</v>
      </c>
      <c r="D114" s="5"/>
      <c r="E114" s="5"/>
      <c r="F114" s="5"/>
      <c r="G114" s="5"/>
      <c r="H114" s="6"/>
      <c r="I114" s="5"/>
      <c r="J114" s="7"/>
      <c r="K114" s="5" t="s">
        <v>164</v>
      </c>
      <c r="L114" s="5"/>
      <c r="M114" s="5"/>
      <c r="N114" s="5"/>
      <c r="O114" s="5"/>
      <c r="P114" s="6"/>
      <c r="Q114" s="5"/>
    </row>
    <row r="115" spans="1:17">
      <c r="A115" s="5"/>
      <c r="B115" s="7"/>
      <c r="C115" s="5"/>
      <c r="D115" s="5"/>
      <c r="E115" s="5"/>
      <c r="F115" s="5"/>
      <c r="G115" s="5"/>
      <c r="H115" s="6"/>
      <c r="I115" s="5"/>
      <c r="J115" s="7"/>
      <c r="K115" s="5" t="s">
        <v>89</v>
      </c>
      <c r="L115" s="5"/>
      <c r="M115" s="5"/>
      <c r="N115" s="5"/>
      <c r="O115" s="5"/>
      <c r="P115" s="6"/>
      <c r="Q115" s="5"/>
    </row>
    <row r="116" spans="1:17">
      <c r="A116" s="5"/>
      <c r="B116" s="7"/>
      <c r="C116" s="5"/>
      <c r="D116" s="5"/>
      <c r="E116" s="5"/>
      <c r="F116" s="5"/>
      <c r="G116" s="5"/>
      <c r="H116" s="6"/>
      <c r="I116" s="5"/>
      <c r="J116" s="7"/>
      <c r="K116" s="5" t="s">
        <v>154</v>
      </c>
      <c r="L116" s="5"/>
      <c r="M116" s="5"/>
      <c r="N116" s="5"/>
      <c r="O116" s="5"/>
      <c r="P116" s="6"/>
      <c r="Q116" s="5"/>
    </row>
    <row r="117" spans="1:17">
      <c r="A117" s="5"/>
      <c r="B117" s="7"/>
      <c r="C117" s="5"/>
      <c r="D117" s="5"/>
      <c r="E117" s="5"/>
      <c r="F117" s="5"/>
      <c r="G117" s="5"/>
      <c r="H117" s="6"/>
      <c r="I117" s="5"/>
      <c r="J117" s="7"/>
      <c r="K117" s="5"/>
      <c r="L117" s="5"/>
      <c r="M117" s="5"/>
      <c r="N117" s="5"/>
      <c r="O117" s="5"/>
      <c r="P117" s="6"/>
      <c r="Q117" s="5"/>
    </row>
    <row r="118" spans="1:17">
      <c r="A118" s="5"/>
      <c r="B118" s="7"/>
      <c r="C118" s="5"/>
      <c r="D118" s="5"/>
      <c r="E118" s="5"/>
      <c r="F118" s="5"/>
      <c r="G118" s="5"/>
      <c r="H118" s="6"/>
      <c r="I118" s="5"/>
      <c r="J118" s="7"/>
      <c r="K118" s="5" t="s">
        <v>156</v>
      </c>
      <c r="L118" s="5"/>
      <c r="M118" s="5"/>
      <c r="N118" s="5"/>
      <c r="O118" s="5"/>
      <c r="P118" s="6"/>
      <c r="Q118" s="5"/>
    </row>
    <row r="119" spans="1:17">
      <c r="A119" s="5"/>
      <c r="B119" s="7"/>
      <c r="C119" s="5"/>
      <c r="D119" s="5"/>
      <c r="E119" s="5"/>
      <c r="F119" s="5"/>
      <c r="G119" s="5"/>
      <c r="H119" s="6"/>
      <c r="I119" s="5"/>
      <c r="J119" s="7"/>
      <c r="K119" s="5" t="s">
        <v>165</v>
      </c>
      <c r="L119" s="5"/>
      <c r="M119" s="5"/>
      <c r="N119" s="5"/>
      <c r="O119" s="5"/>
      <c r="P119" s="6"/>
      <c r="Q119" s="5"/>
    </row>
    <row r="120" spans="1:17">
      <c r="A120" s="5"/>
      <c r="B120" s="7"/>
      <c r="C120" s="5"/>
      <c r="D120" s="5"/>
      <c r="E120" s="5"/>
      <c r="F120" s="5"/>
      <c r="G120" s="5"/>
      <c r="H120" s="6"/>
      <c r="I120" s="5"/>
      <c r="J120" s="7"/>
      <c r="K120" s="5" t="s">
        <v>166</v>
      </c>
      <c r="L120" s="5"/>
      <c r="M120" s="5"/>
      <c r="N120" s="5"/>
      <c r="O120" s="5"/>
      <c r="P120" s="6"/>
      <c r="Q120" s="5"/>
    </row>
    <row r="121" spans="1:17">
      <c r="A121" s="5"/>
      <c r="B121" s="7"/>
      <c r="C121" s="5"/>
      <c r="D121" s="5"/>
      <c r="E121" s="5"/>
      <c r="F121" s="5"/>
      <c r="G121" s="5"/>
      <c r="H121" s="6"/>
      <c r="I121" s="5"/>
      <c r="J121" s="7"/>
      <c r="K121" s="5" t="s">
        <v>167</v>
      </c>
      <c r="L121" s="5"/>
      <c r="M121" s="5"/>
      <c r="N121" s="5"/>
      <c r="O121" s="5"/>
      <c r="P121" s="6"/>
      <c r="Q121" s="5"/>
    </row>
    <row r="122" spans="1:17">
      <c r="A122" s="5"/>
      <c r="B122" s="7"/>
      <c r="C122" s="5"/>
      <c r="D122" s="5"/>
      <c r="E122" s="5"/>
      <c r="F122" s="5"/>
      <c r="G122" s="5"/>
      <c r="H122" s="6"/>
      <c r="I122" s="5"/>
      <c r="J122" s="7"/>
      <c r="K122" s="5"/>
      <c r="L122" s="5"/>
      <c r="M122" s="5"/>
      <c r="N122" s="5"/>
      <c r="O122" s="5"/>
      <c r="P122" s="6"/>
      <c r="Q122" s="5"/>
    </row>
    <row r="123" spans="1:17">
      <c r="A123" s="5"/>
      <c r="B123" s="7"/>
      <c r="C123" s="5"/>
      <c r="D123" s="5"/>
      <c r="E123" s="5"/>
      <c r="F123" s="5"/>
      <c r="G123" s="5"/>
      <c r="H123" s="6"/>
      <c r="I123" s="5"/>
      <c r="J123" s="7"/>
      <c r="K123" s="5"/>
      <c r="L123" s="5"/>
      <c r="M123" s="5"/>
      <c r="N123" s="5"/>
      <c r="O123" s="5"/>
      <c r="P123" s="6"/>
      <c r="Q123" s="5"/>
    </row>
    <row r="124" spans="1:17">
      <c r="A124" s="5"/>
      <c r="B124" s="2"/>
      <c r="C124" s="3"/>
      <c r="D124" s="3"/>
      <c r="E124" s="3"/>
      <c r="F124" s="3"/>
      <c r="G124" s="3"/>
      <c r="H124" s="4"/>
      <c r="I124" s="5"/>
      <c r="J124" s="7"/>
      <c r="K124" s="5"/>
      <c r="L124" s="5"/>
      <c r="M124" s="5"/>
      <c r="N124" s="5"/>
      <c r="O124" s="5"/>
      <c r="P124" s="6"/>
      <c r="Q124" s="5"/>
    </row>
    <row r="125" spans="1:17">
      <c r="A125" s="5"/>
      <c r="B125" s="5"/>
      <c r="C125" s="5"/>
      <c r="D125" s="5"/>
      <c r="E125" s="5"/>
      <c r="F125" s="5"/>
      <c r="G125" s="5"/>
      <c r="H125" s="5"/>
      <c r="I125" s="5"/>
      <c r="J125" s="7"/>
      <c r="K125" s="5"/>
      <c r="L125" s="5"/>
      <c r="M125" s="5"/>
      <c r="N125" s="5"/>
      <c r="O125" s="5"/>
      <c r="P125" s="6"/>
      <c r="Q125" s="5"/>
    </row>
    <row r="126" spans="1:17">
      <c r="A126" s="5"/>
      <c r="B126" s="8"/>
      <c r="C126" s="28" t="s">
        <v>169</v>
      </c>
      <c r="D126" s="9"/>
      <c r="E126" s="9"/>
      <c r="F126" s="9"/>
      <c r="G126" s="9"/>
      <c r="H126" s="10"/>
      <c r="I126" s="5"/>
      <c r="J126" s="7"/>
      <c r="K126" s="5"/>
      <c r="L126" s="5"/>
      <c r="M126" s="5"/>
      <c r="N126" s="5"/>
      <c r="O126" s="5"/>
      <c r="P126" s="6"/>
      <c r="Q126" s="5"/>
    </row>
    <row r="127" spans="1:17">
      <c r="A127" s="5"/>
      <c r="B127" s="7"/>
      <c r="C127" s="5" t="s">
        <v>113</v>
      </c>
      <c r="D127" s="5"/>
      <c r="E127" s="5"/>
      <c r="F127" s="5"/>
      <c r="G127" s="5"/>
      <c r="H127" s="6"/>
      <c r="I127" s="5"/>
      <c r="J127" s="7"/>
      <c r="K127" s="5"/>
      <c r="L127" s="5"/>
      <c r="M127" s="5"/>
      <c r="N127" s="5"/>
      <c r="O127" s="5"/>
      <c r="P127" s="6"/>
      <c r="Q127" s="5"/>
    </row>
    <row r="128" spans="1:17">
      <c r="A128" s="5"/>
      <c r="B128" s="7"/>
      <c r="C128" s="5" t="s">
        <v>170</v>
      </c>
      <c r="D128" s="5"/>
      <c r="E128" s="5"/>
      <c r="F128" s="5"/>
      <c r="G128" s="5"/>
      <c r="H128" s="6"/>
      <c r="I128" s="5"/>
      <c r="J128" s="7"/>
      <c r="K128" s="5"/>
      <c r="L128" s="5"/>
      <c r="M128" s="5"/>
      <c r="N128" s="5"/>
      <c r="O128" s="5"/>
      <c r="P128" s="6"/>
      <c r="Q128" s="5"/>
    </row>
    <row r="129" spans="1:17">
      <c r="A129" s="5"/>
      <c r="B129" s="7"/>
      <c r="C129" s="5" t="s">
        <v>134</v>
      </c>
      <c r="D129" s="5"/>
      <c r="E129" s="5"/>
      <c r="F129" s="5"/>
      <c r="G129" s="5"/>
      <c r="H129" s="6"/>
      <c r="I129" s="5"/>
      <c r="J129" s="7"/>
      <c r="K129" s="5"/>
      <c r="L129" s="5"/>
      <c r="M129" s="5"/>
      <c r="N129" s="5"/>
      <c r="O129" s="5"/>
      <c r="P129" s="6"/>
      <c r="Q129" s="5"/>
    </row>
    <row r="130" spans="1:17">
      <c r="A130" s="5"/>
      <c r="B130" s="7"/>
      <c r="C130" s="5" t="s">
        <v>171</v>
      </c>
      <c r="D130" s="5"/>
      <c r="E130" s="5"/>
      <c r="F130" s="5"/>
      <c r="G130" s="5"/>
      <c r="H130" s="6"/>
      <c r="I130" s="5"/>
      <c r="J130" s="7"/>
      <c r="K130" s="5"/>
      <c r="L130" s="5"/>
      <c r="M130" s="5"/>
      <c r="N130" s="5"/>
      <c r="O130" s="5"/>
      <c r="P130" s="6"/>
      <c r="Q130" s="5"/>
    </row>
    <row r="131" spans="1:17">
      <c r="A131" s="5"/>
      <c r="B131" s="7"/>
      <c r="C131" s="14" t="s">
        <v>174</v>
      </c>
      <c r="D131" s="5"/>
      <c r="E131" s="5"/>
      <c r="F131" s="5"/>
      <c r="G131" s="5"/>
      <c r="H131" s="6"/>
      <c r="I131" s="5"/>
      <c r="J131" s="7"/>
      <c r="K131" s="5"/>
      <c r="L131" s="5"/>
      <c r="M131" s="5"/>
      <c r="N131" s="5"/>
      <c r="O131" s="5"/>
      <c r="P131" s="6"/>
      <c r="Q131" s="5"/>
    </row>
    <row r="132" spans="1:17">
      <c r="A132" s="5"/>
      <c r="B132" s="7"/>
      <c r="C132" s="5"/>
      <c r="D132" s="5"/>
      <c r="E132" s="5"/>
      <c r="F132" s="5"/>
      <c r="G132" s="5"/>
      <c r="H132" s="6"/>
      <c r="I132" s="5"/>
      <c r="J132" s="2"/>
      <c r="K132" s="3"/>
      <c r="L132" s="3"/>
      <c r="M132" s="3"/>
      <c r="N132" s="3"/>
      <c r="O132" s="3"/>
      <c r="P132" s="4"/>
      <c r="Q132" s="5"/>
    </row>
    <row r="133" spans="1:17">
      <c r="A133" s="5"/>
      <c r="B133" s="7"/>
      <c r="C133" s="5" t="s">
        <v>172</v>
      </c>
      <c r="D133" s="5"/>
      <c r="E133" s="5"/>
      <c r="F133" s="5"/>
      <c r="G133" s="5"/>
      <c r="H133" s="6"/>
      <c r="I133" s="5"/>
      <c r="J133" s="5"/>
      <c r="K133" s="5"/>
      <c r="L133" s="5"/>
      <c r="M133" s="5"/>
      <c r="N133" s="5"/>
      <c r="O133" s="5"/>
      <c r="P133" s="5"/>
      <c r="Q133" s="5"/>
    </row>
    <row r="134" spans="1:17">
      <c r="A134" s="5"/>
      <c r="B134" s="7"/>
      <c r="C134" s="5" t="s">
        <v>173</v>
      </c>
      <c r="D134" s="5"/>
      <c r="E134" s="5"/>
      <c r="F134" s="5"/>
      <c r="G134" s="5"/>
      <c r="H134" s="6"/>
      <c r="I134" s="5"/>
      <c r="J134" s="8"/>
      <c r="K134" s="28" t="s">
        <v>100</v>
      </c>
      <c r="L134" s="9"/>
      <c r="M134" s="9"/>
      <c r="N134" s="9"/>
      <c r="O134" s="9"/>
      <c r="P134" s="10"/>
      <c r="Q134" s="5"/>
    </row>
    <row r="135" spans="1:17">
      <c r="A135" s="5"/>
      <c r="B135" s="7"/>
      <c r="C135" s="5"/>
      <c r="D135" s="5"/>
      <c r="E135" s="5"/>
      <c r="F135" s="5"/>
      <c r="G135" s="5"/>
      <c r="H135" s="6"/>
      <c r="I135" s="5"/>
      <c r="J135" s="7"/>
      <c r="K135" s="5" t="s">
        <v>113</v>
      </c>
      <c r="L135" s="5"/>
      <c r="M135" s="5"/>
      <c r="N135" s="5"/>
      <c r="O135" s="5"/>
      <c r="P135" s="6"/>
      <c r="Q135" s="5"/>
    </row>
    <row r="136" spans="1:17">
      <c r="A136" s="5"/>
      <c r="B136" s="7"/>
      <c r="C136" s="5"/>
      <c r="D136" s="5"/>
      <c r="E136" s="5"/>
      <c r="F136" s="5"/>
      <c r="G136" s="5"/>
      <c r="H136" s="6"/>
      <c r="I136" s="5"/>
      <c r="J136" s="7"/>
      <c r="K136" s="5" t="s">
        <v>92</v>
      </c>
      <c r="L136" s="5"/>
      <c r="M136" s="5"/>
      <c r="N136" s="5"/>
      <c r="O136" s="5"/>
      <c r="P136" s="6"/>
      <c r="Q136" s="5"/>
    </row>
    <row r="137" spans="1:17">
      <c r="A137" s="5"/>
      <c r="B137" s="7"/>
      <c r="C137" s="36"/>
      <c r="D137" s="5"/>
      <c r="E137" s="5"/>
      <c r="F137" s="5"/>
      <c r="G137" s="5"/>
      <c r="H137" s="6"/>
      <c r="I137" s="5"/>
      <c r="J137" s="7"/>
      <c r="K137" s="5" t="s">
        <v>93</v>
      </c>
      <c r="L137" s="5"/>
      <c r="M137" s="5"/>
      <c r="N137" s="5"/>
      <c r="O137" s="5"/>
      <c r="P137" s="6"/>
      <c r="Q137" s="5"/>
    </row>
    <row r="138" spans="1:17">
      <c r="A138" s="5"/>
      <c r="B138" s="7"/>
      <c r="C138" s="5"/>
      <c r="D138" s="5"/>
      <c r="E138" s="5"/>
      <c r="F138" s="5"/>
      <c r="G138" s="5"/>
      <c r="H138" s="6"/>
      <c r="I138" s="5"/>
      <c r="J138" s="7"/>
      <c r="K138" s="5" t="s">
        <v>99</v>
      </c>
      <c r="L138" s="5"/>
      <c r="M138" s="5"/>
      <c r="N138" s="5"/>
      <c r="O138" s="5"/>
      <c r="P138" s="6"/>
      <c r="Q138" s="5"/>
    </row>
    <row r="139" spans="1:17">
      <c r="A139" s="5"/>
      <c r="B139" s="7"/>
      <c r="C139" s="5"/>
      <c r="D139" s="5"/>
      <c r="E139" s="5"/>
      <c r="F139" s="5"/>
      <c r="G139" s="5"/>
      <c r="H139" s="6"/>
      <c r="I139" s="5"/>
      <c r="J139" s="7"/>
      <c r="K139" s="5" t="s">
        <v>94</v>
      </c>
      <c r="L139" s="5"/>
      <c r="M139" s="5"/>
      <c r="N139" s="5"/>
      <c r="O139" s="5"/>
      <c r="P139" s="6"/>
      <c r="Q139" s="5"/>
    </row>
    <row r="140" spans="1:17">
      <c r="A140" s="5"/>
      <c r="B140" s="7"/>
      <c r="C140" s="5"/>
      <c r="D140" s="5"/>
      <c r="E140" s="5"/>
      <c r="F140" s="5"/>
      <c r="G140" s="5"/>
      <c r="H140" s="6"/>
      <c r="I140" s="5"/>
      <c r="J140" s="7"/>
      <c r="K140" s="5" t="s">
        <v>95</v>
      </c>
      <c r="L140" s="5"/>
      <c r="M140" s="5"/>
      <c r="N140" s="5"/>
      <c r="O140" s="5"/>
      <c r="P140" s="6"/>
      <c r="Q140" s="5"/>
    </row>
    <row r="141" spans="1:17">
      <c r="A141" s="5"/>
      <c r="B141" s="7"/>
      <c r="C141" s="5"/>
      <c r="D141" s="5"/>
      <c r="E141" s="5"/>
      <c r="F141" s="5"/>
      <c r="G141" s="5"/>
      <c r="H141" s="6"/>
      <c r="I141" s="5"/>
      <c r="J141" s="7"/>
      <c r="K141" s="5" t="s">
        <v>96</v>
      </c>
      <c r="L141" s="5"/>
      <c r="M141" s="5"/>
      <c r="N141" s="5"/>
      <c r="O141" s="5"/>
      <c r="P141" s="6"/>
      <c r="Q141" s="5"/>
    </row>
    <row r="142" spans="1:17">
      <c r="A142" s="5"/>
      <c r="B142" s="7"/>
      <c r="C142" s="5"/>
      <c r="D142" s="5"/>
      <c r="E142" s="5"/>
      <c r="F142" s="5"/>
      <c r="G142" s="5"/>
      <c r="H142" s="6"/>
      <c r="I142" s="5"/>
      <c r="J142" s="7"/>
      <c r="K142" s="5" t="s">
        <v>97</v>
      </c>
      <c r="L142" s="5"/>
      <c r="M142" s="5"/>
      <c r="N142" s="5"/>
      <c r="O142" s="5"/>
      <c r="P142" s="6"/>
      <c r="Q142" s="5"/>
    </row>
    <row r="143" spans="1:17">
      <c r="A143" s="5"/>
      <c r="B143" s="7"/>
      <c r="C143" s="5"/>
      <c r="D143" s="5"/>
      <c r="E143" s="5"/>
      <c r="F143" s="5"/>
      <c r="G143" s="5"/>
      <c r="H143" s="6"/>
      <c r="I143" s="5"/>
      <c r="J143" s="7"/>
      <c r="K143" s="5" t="s">
        <v>98</v>
      </c>
      <c r="L143" s="5"/>
      <c r="M143" s="5"/>
      <c r="N143" s="5"/>
      <c r="O143" s="5"/>
      <c r="P143" s="6"/>
      <c r="Q143" s="5"/>
    </row>
    <row r="144" spans="1:17">
      <c r="A144" s="5"/>
      <c r="B144" s="7"/>
      <c r="C144" s="5"/>
      <c r="D144" s="5"/>
      <c r="E144" s="5"/>
      <c r="F144" s="5"/>
      <c r="G144" s="5"/>
      <c r="H144" s="6"/>
      <c r="I144" s="5"/>
      <c r="J144" s="7"/>
      <c r="K144" s="5"/>
      <c r="L144" s="5"/>
      <c r="M144" s="5"/>
      <c r="N144" s="5"/>
      <c r="O144" s="5"/>
      <c r="P144" s="6"/>
      <c r="Q144" s="5"/>
    </row>
    <row r="145" spans="1:17">
      <c r="A145" s="5"/>
      <c r="B145" s="7"/>
      <c r="C145" s="5"/>
      <c r="D145" s="5"/>
      <c r="E145" s="5"/>
      <c r="F145" s="5"/>
      <c r="G145" s="5"/>
      <c r="H145" s="6"/>
      <c r="I145" s="5"/>
      <c r="J145" s="7"/>
      <c r="K145" s="5" t="s">
        <v>175</v>
      </c>
      <c r="L145" s="5"/>
      <c r="M145" s="5"/>
      <c r="N145" s="5"/>
      <c r="O145" s="5"/>
      <c r="P145" s="6"/>
      <c r="Q145" s="5"/>
    </row>
    <row r="146" spans="1:17">
      <c r="A146" s="5"/>
      <c r="B146" s="7"/>
      <c r="C146" s="5"/>
      <c r="D146" s="5"/>
      <c r="E146" s="5"/>
      <c r="F146" s="5"/>
      <c r="G146" s="5"/>
      <c r="H146" s="6"/>
      <c r="I146" s="5"/>
      <c r="J146" s="7"/>
      <c r="K146" s="5" t="s">
        <v>176</v>
      </c>
      <c r="L146" s="5"/>
      <c r="M146" s="5"/>
      <c r="N146" s="5"/>
      <c r="O146" s="5"/>
      <c r="P146" s="6"/>
      <c r="Q146" s="5"/>
    </row>
    <row r="147" spans="1:17">
      <c r="A147" s="5"/>
      <c r="B147" s="2"/>
      <c r="C147" s="3"/>
      <c r="D147" s="3"/>
      <c r="E147" s="3"/>
      <c r="F147" s="3"/>
      <c r="G147" s="3"/>
      <c r="H147" s="4"/>
      <c r="I147" s="5"/>
      <c r="J147" s="7"/>
      <c r="K147" s="5" t="s">
        <v>177</v>
      </c>
      <c r="L147" s="5"/>
      <c r="M147" s="5"/>
      <c r="N147" s="5"/>
      <c r="O147" s="5"/>
      <c r="P147" s="6"/>
      <c r="Q147" s="5"/>
    </row>
    <row r="148" spans="1:17">
      <c r="A148" s="5"/>
      <c r="B148" s="5"/>
      <c r="C148" s="5"/>
      <c r="D148" s="5"/>
      <c r="E148" s="5"/>
      <c r="F148" s="5"/>
      <c r="G148" s="5"/>
      <c r="H148" s="5"/>
      <c r="I148" s="5"/>
      <c r="J148" s="7"/>
      <c r="K148" s="5" t="s">
        <v>178</v>
      </c>
      <c r="L148" s="5"/>
      <c r="M148" s="5"/>
      <c r="N148" s="5"/>
      <c r="O148" s="5"/>
      <c r="P148" s="6"/>
      <c r="Q148" s="5"/>
    </row>
    <row r="149" spans="1:17">
      <c r="A149" s="5"/>
      <c r="B149" s="5"/>
      <c r="C149" s="5"/>
      <c r="D149" s="5"/>
      <c r="E149" s="5"/>
      <c r="F149" s="5"/>
      <c r="G149" s="5"/>
      <c r="H149" s="5"/>
      <c r="I149" s="5"/>
      <c r="J149" s="7"/>
      <c r="K149" s="5"/>
      <c r="L149" s="5"/>
      <c r="M149" s="5"/>
      <c r="N149" s="5"/>
      <c r="O149" s="5"/>
      <c r="P149" s="6"/>
      <c r="Q149" s="5"/>
    </row>
    <row r="150" spans="1:17">
      <c r="A150" s="5"/>
      <c r="B150" s="5"/>
      <c r="C150" s="5"/>
      <c r="D150" s="5"/>
      <c r="E150" s="5"/>
      <c r="F150" s="5"/>
      <c r="G150" s="5"/>
      <c r="H150" s="5"/>
      <c r="I150" s="5"/>
      <c r="J150" s="7"/>
      <c r="K150" s="5"/>
      <c r="L150" s="5"/>
      <c r="M150" s="5"/>
      <c r="N150" s="5"/>
      <c r="O150" s="5"/>
      <c r="P150" s="6"/>
      <c r="Q150" s="5"/>
    </row>
    <row r="151" spans="1:17">
      <c r="A151" s="5"/>
      <c r="B151" s="5"/>
      <c r="C151" s="5"/>
      <c r="D151" s="5"/>
      <c r="E151" s="5"/>
      <c r="F151" s="5"/>
      <c r="G151" s="5"/>
      <c r="H151" s="5"/>
      <c r="I151" s="5"/>
      <c r="J151" s="7"/>
      <c r="K151" s="5"/>
      <c r="L151" s="5"/>
      <c r="M151" s="5"/>
      <c r="N151" s="5"/>
      <c r="O151" s="5"/>
      <c r="P151" s="6"/>
      <c r="Q151" s="5"/>
    </row>
    <row r="152" spans="1:17">
      <c r="A152" s="5"/>
      <c r="B152" s="5"/>
      <c r="C152" s="5"/>
      <c r="D152" s="5"/>
      <c r="E152" s="5"/>
      <c r="F152" s="5"/>
      <c r="G152" s="5"/>
      <c r="H152" s="5"/>
      <c r="I152" s="5"/>
      <c r="J152" s="7"/>
      <c r="K152" s="5"/>
      <c r="L152" s="5"/>
      <c r="M152" s="5"/>
      <c r="N152" s="5"/>
      <c r="O152" s="5"/>
      <c r="P152" s="6"/>
      <c r="Q152" s="5"/>
    </row>
    <row r="153" spans="1:17">
      <c r="A153" s="5"/>
      <c r="B153" s="5"/>
      <c r="C153" s="5"/>
      <c r="D153" s="5"/>
      <c r="E153" s="5"/>
      <c r="F153" s="5"/>
      <c r="G153" s="5"/>
      <c r="H153" s="5"/>
      <c r="I153" s="5"/>
      <c r="J153" s="7"/>
      <c r="K153" s="5"/>
      <c r="L153" s="5"/>
      <c r="M153" s="5"/>
      <c r="N153" s="5"/>
      <c r="O153" s="5"/>
      <c r="P153" s="6"/>
      <c r="Q153" s="5"/>
    </row>
    <row r="154" spans="1:17">
      <c r="A154" s="5"/>
      <c r="B154" s="5"/>
      <c r="C154" s="5"/>
      <c r="D154" s="5"/>
      <c r="E154" s="5"/>
      <c r="F154" s="5"/>
      <c r="G154" s="5"/>
      <c r="H154" s="5"/>
      <c r="I154" s="5"/>
      <c r="J154" s="7"/>
      <c r="K154" s="5"/>
      <c r="L154" s="5"/>
      <c r="M154" s="5"/>
      <c r="N154" s="5"/>
      <c r="O154" s="5"/>
      <c r="P154" s="6"/>
      <c r="Q154" s="5"/>
    </row>
    <row r="155" spans="1:17">
      <c r="A155" s="5"/>
      <c r="B155" s="5"/>
      <c r="C155" s="5"/>
      <c r="D155" s="5"/>
      <c r="E155" s="5"/>
      <c r="F155" s="5"/>
      <c r="G155" s="5"/>
      <c r="H155" s="5"/>
      <c r="I155" s="5"/>
      <c r="J155" s="7"/>
      <c r="K155" s="5"/>
      <c r="L155" s="5"/>
      <c r="M155" s="5"/>
      <c r="N155" s="5"/>
      <c r="O155" s="5"/>
      <c r="P155" s="6"/>
      <c r="Q155" s="5"/>
    </row>
    <row r="156" spans="1:17">
      <c r="A156" s="5"/>
      <c r="B156" s="5"/>
      <c r="C156" s="5"/>
      <c r="D156" s="5"/>
      <c r="E156" s="5"/>
      <c r="F156" s="5"/>
      <c r="G156" s="5"/>
      <c r="H156" s="5"/>
      <c r="I156" s="5"/>
      <c r="J156" s="7"/>
      <c r="K156" s="5"/>
      <c r="L156" s="5"/>
      <c r="M156" s="5"/>
      <c r="N156" s="5"/>
      <c r="O156" s="5"/>
      <c r="P156" s="6"/>
      <c r="Q156" s="5"/>
    </row>
    <row r="157" spans="1:17">
      <c r="A157" s="5"/>
      <c r="B157" s="5"/>
      <c r="C157" s="5"/>
      <c r="D157" s="5"/>
      <c r="E157" s="5"/>
      <c r="F157" s="5"/>
      <c r="G157" s="5"/>
      <c r="H157" s="5"/>
      <c r="I157" s="5"/>
      <c r="J157" s="7"/>
      <c r="K157" s="5"/>
      <c r="L157" s="5"/>
      <c r="M157" s="5"/>
      <c r="N157" s="5"/>
      <c r="O157" s="5"/>
      <c r="P157" s="6"/>
      <c r="Q157" s="5"/>
    </row>
    <row r="158" spans="1:17">
      <c r="A158" s="5"/>
      <c r="B158" s="5"/>
      <c r="C158" s="5"/>
      <c r="D158" s="5"/>
      <c r="E158" s="5"/>
      <c r="F158" s="5"/>
      <c r="G158" s="5"/>
      <c r="H158" s="5"/>
      <c r="I158" s="5"/>
      <c r="J158" s="7"/>
      <c r="K158" s="5"/>
      <c r="L158" s="5"/>
      <c r="M158" s="5"/>
      <c r="N158" s="5"/>
      <c r="O158" s="5"/>
      <c r="P158" s="6"/>
      <c r="Q158" s="5"/>
    </row>
    <row r="159" spans="1:17">
      <c r="A159" s="5"/>
      <c r="B159" s="5"/>
      <c r="C159" s="5"/>
      <c r="D159" s="5"/>
      <c r="E159" s="5"/>
      <c r="F159" s="5"/>
      <c r="G159" s="5"/>
      <c r="H159" s="5"/>
      <c r="I159" s="5"/>
      <c r="J159" s="7"/>
      <c r="K159" s="5"/>
      <c r="L159" s="5"/>
      <c r="M159" s="5"/>
      <c r="N159" s="5"/>
      <c r="O159" s="5"/>
      <c r="P159" s="6"/>
      <c r="Q159" s="5"/>
    </row>
    <row r="160" spans="1:17">
      <c r="A160" s="5"/>
      <c r="B160" s="5"/>
      <c r="C160" s="5"/>
      <c r="D160" s="5"/>
      <c r="E160" s="5"/>
      <c r="F160" s="5"/>
      <c r="G160" s="5"/>
      <c r="H160" s="5"/>
      <c r="I160" s="5"/>
      <c r="J160" s="7"/>
      <c r="K160" s="5"/>
      <c r="L160" s="5"/>
      <c r="M160" s="5"/>
      <c r="N160" s="5"/>
      <c r="O160" s="5"/>
      <c r="P160" s="6"/>
      <c r="Q160" s="5"/>
    </row>
    <row r="161" spans="1:17">
      <c r="A161" s="5"/>
      <c r="B161" s="5"/>
      <c r="C161" s="5"/>
      <c r="D161" s="5"/>
      <c r="E161" s="5"/>
      <c r="F161" s="5"/>
      <c r="G161" s="5"/>
      <c r="H161" s="5"/>
      <c r="I161" s="5"/>
      <c r="J161" s="7"/>
      <c r="K161" s="5"/>
      <c r="L161" s="5"/>
      <c r="M161" s="5"/>
      <c r="N161" s="5"/>
      <c r="O161" s="5"/>
      <c r="P161" s="6"/>
      <c r="Q161" s="5"/>
    </row>
    <row r="162" spans="1:17">
      <c r="A162" s="5"/>
      <c r="B162" s="5"/>
      <c r="C162" s="5"/>
      <c r="D162" s="5"/>
      <c r="E162" s="5"/>
      <c r="F162" s="5"/>
      <c r="G162" s="5"/>
      <c r="H162" s="5"/>
      <c r="I162" s="5"/>
      <c r="J162" s="2"/>
      <c r="K162" s="3"/>
      <c r="L162" s="3"/>
      <c r="M162" s="3"/>
      <c r="N162" s="3"/>
      <c r="O162" s="3"/>
      <c r="P162" s="4"/>
      <c r="Q162" s="5"/>
    </row>
    <row r="163" spans="1:17">
      <c r="A163" s="5"/>
      <c r="B163" s="5"/>
      <c r="C163" s="5"/>
      <c r="D163" s="5"/>
      <c r="E163" s="5"/>
      <c r="F163" s="5"/>
      <c r="G163" s="5"/>
      <c r="H163" s="5"/>
      <c r="I163" s="5"/>
      <c r="J163" s="5"/>
      <c r="K163" s="5"/>
      <c r="L163" s="5"/>
      <c r="M163" s="5"/>
      <c r="N163" s="5"/>
      <c r="O163" s="5"/>
      <c r="P163" s="5"/>
      <c r="Q163" s="5"/>
    </row>
    <row r="164" spans="1:17" hidden="1">
      <c r="A164" s="5"/>
      <c r="B164" s="5"/>
      <c r="C164" s="5"/>
      <c r="D164" s="5"/>
      <c r="E164" s="5"/>
      <c r="F164" s="5"/>
      <c r="G164" s="5"/>
      <c r="H164" s="5"/>
      <c r="I164" s="5"/>
      <c r="Q164" s="5"/>
    </row>
  </sheetData>
  <sheetProtection algorithmName="SHA-512" hashValue="y8QAxoirL0cmz1zCHGGvQiGiSql17R98hO/tZO2u3lMB7MHUXiis8Ikn0sv+AyktkAMOACMnGc1iFkIcwWR05w==" saltValue="NhS0NLdpk3pXxviLWT1obw==" spinCount="100000" sheet="1" objects="1" scenarios="1" selectLockedCells="1"/>
  <mergeCells count="1">
    <mergeCell ref="C2:O2"/>
  </mergeCells>
  <hyperlinks>
    <hyperlink ref="C2" r:id="rId1" display="Find mere inspiration her:" xr:uid="{F9B5E694-19AA-41DA-B270-9E37BE02C86C}"/>
  </hyperlinks>
  <pageMargins left="0.23622047244094491" right="0.23622047244094491" top="0.19685039370078741" bottom="3.937007874015748E-2" header="0.31496062992125984" footer="0.31496062992125984"/>
  <pageSetup paperSize="260" scale="31" orientation="portrait" r:id="rId2"/>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A9CB1-A2D8-4877-9E92-61AF6F544274}">
  <sheetPr codeName="Ark25">
    <tabColor rgb="FF0070C0"/>
    <pageSetUpPr fitToPage="1"/>
  </sheetPr>
  <dimension ref="A1:T1048564"/>
  <sheetViews>
    <sheetView showGridLines="0" showRowColHeaders="0" zoomScaleNormal="100" workbookViewId="0">
      <pane ySplit="4" topLeftCell="A5" activePane="bottomLeft" state="frozen"/>
      <selection activeCell="C2" sqref="C2:I3"/>
      <selection pane="bottomLeft" activeCell="E16" sqref="E16"/>
    </sheetView>
  </sheetViews>
  <sheetFormatPr defaultColWidth="0" defaultRowHeight="15" customHeight="1"/>
  <cols>
    <col min="1" max="1" width="6.42578125" customWidth="1"/>
    <col min="2" max="2" width="9.42578125" customWidth="1"/>
    <col min="3" max="3" width="8.5703125" customWidth="1"/>
    <col min="4" max="4" width="17.7109375" customWidth="1"/>
    <col min="5" max="5" width="11.140625" customWidth="1"/>
    <col min="6" max="7" width="9.28515625" customWidth="1"/>
    <col min="8" max="9" width="7.140625" customWidth="1"/>
    <col min="10" max="10" width="15.5703125" customWidth="1"/>
    <col min="11" max="11" width="3.140625" customWidth="1"/>
    <col min="12" max="12" width="17.7109375" customWidth="1"/>
    <col min="13" max="13" width="11.140625" customWidth="1"/>
    <col min="14" max="14" width="3.5703125" customWidth="1"/>
    <col min="15" max="15" width="4.42578125" customWidth="1"/>
    <col min="16" max="16" width="8.7109375" hidden="1" customWidth="1"/>
    <col min="17" max="17" width="12" hidden="1" customWidth="1"/>
    <col min="18" max="19" width="9.42578125" hidden="1" customWidth="1"/>
    <col min="20" max="20" width="10" hidden="1" customWidth="1"/>
    <col min="21" max="16384" width="8.7109375" hidden="1"/>
  </cols>
  <sheetData>
    <row r="1" spans="1:19" ht="15" customHeight="1">
      <c r="A1" s="217"/>
      <c r="B1" s="217"/>
      <c r="C1" s="218"/>
      <c r="D1" s="218"/>
      <c r="E1" s="218"/>
      <c r="F1" s="218"/>
      <c r="G1" s="218"/>
      <c r="H1" s="218"/>
      <c r="I1" s="217"/>
      <c r="J1" s="217"/>
      <c r="K1" s="217"/>
      <c r="L1" s="217"/>
      <c r="M1" s="217"/>
      <c r="N1" s="217"/>
      <c r="O1" s="217"/>
    </row>
    <row r="2" spans="1:19" ht="15" customHeight="1">
      <c r="A2" s="217"/>
      <c r="B2" s="2154" t="s">
        <v>1333</v>
      </c>
      <c r="C2" s="2154"/>
      <c r="D2" s="2154"/>
      <c r="E2" s="2154"/>
      <c r="F2" s="2154"/>
      <c r="G2" s="2154"/>
      <c r="H2" s="2154"/>
      <c r="I2" s="545"/>
      <c r="J2" s="217"/>
      <c r="K2" s="217"/>
      <c r="L2" s="217"/>
      <c r="M2" s="217"/>
      <c r="N2" s="217"/>
      <c r="O2" s="217"/>
    </row>
    <row r="3" spans="1:19" ht="15" customHeight="1">
      <c r="A3" s="217"/>
      <c r="B3" s="2154"/>
      <c r="C3" s="2154"/>
      <c r="D3" s="2154"/>
      <c r="E3" s="2154"/>
      <c r="F3" s="2154"/>
      <c r="G3" s="2154"/>
      <c r="H3" s="2154"/>
      <c r="I3" s="545"/>
      <c r="J3" s="217"/>
      <c r="K3" s="217"/>
      <c r="L3" s="217"/>
      <c r="M3" s="217"/>
      <c r="N3" s="217"/>
      <c r="O3" s="217"/>
    </row>
    <row r="4" spans="1:19" ht="15" customHeight="1" thickBot="1">
      <c r="A4" s="253"/>
      <c r="B4" s="2155"/>
      <c r="C4" s="2155"/>
      <c r="D4" s="2155"/>
      <c r="E4" s="2155"/>
      <c r="F4" s="2155"/>
      <c r="G4" s="2155"/>
      <c r="H4" s="2155"/>
      <c r="I4" s="253"/>
      <c r="J4" s="253"/>
      <c r="K4" s="253"/>
      <c r="L4" s="253"/>
      <c r="M4" s="253"/>
      <c r="N4" s="253"/>
      <c r="O4" s="253"/>
    </row>
    <row r="5" spans="1:19" ht="16.5" thickTop="1">
      <c r="A5" s="104"/>
      <c r="B5" s="104"/>
      <c r="C5" s="104"/>
      <c r="D5" s="104"/>
      <c r="E5" s="104"/>
      <c r="F5" s="89"/>
      <c r="G5" s="89"/>
      <c r="H5" s="89"/>
      <c r="I5" s="104"/>
      <c r="J5" s="104"/>
      <c r="K5" s="104"/>
      <c r="L5" s="89"/>
      <c r="M5" s="89"/>
      <c r="N5" s="89"/>
      <c r="O5" s="89"/>
    </row>
    <row r="6" spans="1:19" s="584" customFormat="1" ht="23.25">
      <c r="A6" s="581"/>
      <c r="B6" s="2171" t="s">
        <v>699</v>
      </c>
      <c r="C6" s="2171"/>
      <c r="D6" s="2171"/>
      <c r="E6" s="2171"/>
      <c r="F6" s="2171"/>
      <c r="G6" s="2171"/>
      <c r="H6" s="581"/>
      <c r="I6" s="583"/>
      <c r="J6" s="582" t="s">
        <v>1330</v>
      </c>
      <c r="K6" s="581"/>
      <c r="L6" s="581"/>
      <c r="M6" s="581"/>
      <c r="N6" s="581"/>
      <c r="O6" s="581"/>
    </row>
    <row r="7" spans="1:19" ht="15.75">
      <c r="A7" s="89"/>
      <c r="B7" s="2171"/>
      <c r="C7" s="2171"/>
      <c r="D7" s="2171"/>
      <c r="E7" s="2171"/>
      <c r="F7" s="2171"/>
      <c r="G7" s="2171"/>
      <c r="H7" s="89"/>
      <c r="I7" s="150"/>
      <c r="J7" s="110" t="s">
        <v>372</v>
      </c>
      <c r="K7" s="89"/>
      <c r="L7" s="337">
        <v>6</v>
      </c>
      <c r="M7" s="566" t="s">
        <v>386</v>
      </c>
      <c r="N7" s="89"/>
      <c r="O7" s="89"/>
    </row>
    <row r="8" spans="1:19" ht="16.5" thickBot="1">
      <c r="A8" s="89"/>
      <c r="B8" s="2171"/>
      <c r="C8" s="2171"/>
      <c r="D8" s="2171"/>
      <c r="E8" s="2171"/>
      <c r="F8" s="2171"/>
      <c r="G8" s="2171"/>
      <c r="H8" s="89"/>
      <c r="I8" s="150"/>
      <c r="J8" s="110" t="s">
        <v>373</v>
      </c>
      <c r="K8" s="89"/>
      <c r="L8" s="338">
        <v>270</v>
      </c>
      <c r="M8" s="568" t="s">
        <v>369</v>
      </c>
      <c r="N8" s="89"/>
      <c r="O8" s="89"/>
    </row>
    <row r="9" spans="1:19" ht="16.5" thickTop="1">
      <c r="A9" s="89"/>
      <c r="B9" s="98"/>
      <c r="C9" s="89"/>
      <c r="D9" s="89"/>
      <c r="E9" s="89"/>
      <c r="F9" s="89"/>
      <c r="G9" s="89"/>
      <c r="H9" s="89"/>
      <c r="I9" s="150"/>
      <c r="J9" s="104"/>
      <c r="K9" s="89"/>
      <c r="L9" s="104"/>
      <c r="M9" s="103"/>
      <c r="N9" s="89"/>
      <c r="O9" s="89"/>
    </row>
    <row r="10" spans="1:19" ht="23.25">
      <c r="A10" s="89"/>
      <c r="B10" s="582" t="s">
        <v>688</v>
      </c>
      <c r="C10" s="89"/>
      <c r="D10" s="89"/>
      <c r="E10" s="89"/>
      <c r="F10" s="89"/>
      <c r="G10" s="89"/>
      <c r="H10" s="89"/>
      <c r="I10" s="150"/>
      <c r="J10" s="110" t="s">
        <v>382</v>
      </c>
      <c r="K10" s="89"/>
      <c r="L10" s="546">
        <f>L7*L8</f>
        <v>1620</v>
      </c>
      <c r="M10" s="1863" t="s">
        <v>369</v>
      </c>
      <c r="N10" s="89"/>
      <c r="O10" s="89"/>
    </row>
    <row r="11" spans="1:19" ht="15.75">
      <c r="A11" s="89"/>
      <c r="B11" s="98" t="s">
        <v>692</v>
      </c>
      <c r="C11" s="89"/>
      <c r="D11" s="89"/>
      <c r="E11" s="89"/>
      <c r="F11" s="89"/>
      <c r="G11" s="89"/>
      <c r="H11" s="89"/>
      <c r="I11" s="150"/>
      <c r="J11" s="1864"/>
      <c r="K11" s="89"/>
      <c r="L11" s="323"/>
      <c r="M11" s="571"/>
      <c r="N11" s="89"/>
      <c r="O11" s="89"/>
    </row>
    <row r="12" spans="1:19" ht="23.25">
      <c r="A12" s="89"/>
      <c r="B12" s="98"/>
      <c r="C12" s="89"/>
      <c r="D12" s="89"/>
      <c r="E12" s="89"/>
      <c r="F12" s="89"/>
      <c r="G12" s="89"/>
      <c r="H12" s="89"/>
      <c r="I12" s="150"/>
      <c r="J12" s="582" t="s">
        <v>687</v>
      </c>
      <c r="K12" s="89"/>
      <c r="L12" s="89"/>
      <c r="M12" s="89"/>
      <c r="N12" s="89"/>
      <c r="O12" s="89"/>
    </row>
    <row r="13" spans="1:19">
      <c r="A13" s="89"/>
      <c r="B13" s="98"/>
      <c r="C13" s="89"/>
      <c r="D13" s="89"/>
      <c r="E13" s="89"/>
      <c r="F13" s="89"/>
      <c r="G13" s="89"/>
      <c r="H13" s="89"/>
      <c r="I13" s="150"/>
      <c r="J13" s="98" t="s">
        <v>690</v>
      </c>
      <c r="K13" s="89"/>
      <c r="L13" s="89"/>
      <c r="M13" s="89"/>
      <c r="N13" s="89"/>
      <c r="O13" s="89"/>
    </row>
    <row r="14" spans="1:19" ht="15.75">
      <c r="A14" s="104"/>
      <c r="B14" s="104"/>
      <c r="C14" s="104"/>
      <c r="D14" s="104"/>
      <c r="E14" s="546" t="s">
        <v>686</v>
      </c>
      <c r="F14" s="104"/>
      <c r="G14" s="546" t="s">
        <v>685</v>
      </c>
      <c r="H14" s="104"/>
      <c r="I14" s="150"/>
      <c r="J14" s="98" t="s">
        <v>691</v>
      </c>
      <c r="K14" s="89"/>
      <c r="L14" s="89"/>
      <c r="M14" s="546"/>
      <c r="N14" s="103"/>
      <c r="O14" s="103"/>
      <c r="P14" s="105"/>
    </row>
    <row r="15" spans="1:19" ht="15.75">
      <c r="A15" s="104"/>
      <c r="B15" s="104"/>
      <c r="C15" s="104"/>
      <c r="D15" s="104"/>
      <c r="E15" s="546" t="s">
        <v>380</v>
      </c>
      <c r="F15" s="546"/>
      <c r="G15" s="546" t="s">
        <v>684</v>
      </c>
      <c r="H15" s="89"/>
      <c r="I15" s="325"/>
      <c r="J15" s="89"/>
      <c r="K15" s="89"/>
      <c r="L15" s="89"/>
      <c r="M15" s="546"/>
      <c r="N15" s="103"/>
      <c r="O15" s="103"/>
      <c r="P15" s="105"/>
    </row>
    <row r="16" spans="1:19" ht="15.75">
      <c r="A16" s="104"/>
      <c r="B16" s="2165" t="s">
        <v>83</v>
      </c>
      <c r="C16" s="2166"/>
      <c r="D16" s="555" t="s">
        <v>434</v>
      </c>
      <c r="E16" s="558"/>
      <c r="F16" s="547" t="str">
        <f>IF(E16="","",E16/SUM(E16:E18))</f>
        <v/>
      </c>
      <c r="G16" s="2162" t="str">
        <f>IF(E16="","",1)</f>
        <v/>
      </c>
      <c r="H16" s="89"/>
      <c r="I16" s="325"/>
      <c r="J16" s="2165" t="s">
        <v>83</v>
      </c>
      <c r="K16" s="2166"/>
      <c r="L16" s="567" t="s">
        <v>434</v>
      </c>
      <c r="M16" s="576" t="str">
        <f>IF(E16="","",$L$10*F16/$G$27)</f>
        <v/>
      </c>
      <c r="N16" s="103"/>
      <c r="O16" s="103"/>
      <c r="P16" s="105"/>
      <c r="Q16" s="1860" t="s">
        <v>1331</v>
      </c>
      <c r="R16" s="765" t="s">
        <v>1328</v>
      </c>
      <c r="S16" s="765" t="s">
        <v>1329</v>
      </c>
    </row>
    <row r="17" spans="1:20" ht="15.75">
      <c r="A17" s="104"/>
      <c r="B17" s="2167"/>
      <c r="C17" s="2168"/>
      <c r="D17" s="556" t="s">
        <v>435</v>
      </c>
      <c r="E17" s="559"/>
      <c r="F17" s="548" t="str">
        <f>IF(E17="","",E17/SUM(E16:E18))</f>
        <v/>
      </c>
      <c r="G17" s="2163"/>
      <c r="H17" s="89"/>
      <c r="I17" s="325"/>
      <c r="J17" s="2167"/>
      <c r="K17" s="2168"/>
      <c r="L17" s="569" t="s">
        <v>435</v>
      </c>
      <c r="M17" s="572" t="str">
        <f>IF(E17="","",$L$10*F17/$G$27)</f>
        <v/>
      </c>
      <c r="N17" s="103"/>
      <c r="O17" s="103"/>
      <c r="P17" s="105"/>
      <c r="Q17" s="1029" t="s">
        <v>1328</v>
      </c>
      <c r="R17" s="193">
        <v>1</v>
      </c>
      <c r="S17" s="1316">
        <f>E20/3.5</f>
        <v>0</v>
      </c>
    </row>
    <row r="18" spans="1:20" ht="15.75">
      <c r="A18" s="104"/>
      <c r="B18" s="2169"/>
      <c r="C18" s="2170"/>
      <c r="D18" s="557" t="s">
        <v>683</v>
      </c>
      <c r="E18" s="560"/>
      <c r="F18" s="549" t="str">
        <f>IF(E18="","",E18/SUM(E16:E18))</f>
        <v/>
      </c>
      <c r="G18" s="2164"/>
      <c r="H18" s="89"/>
      <c r="I18" s="325"/>
      <c r="J18" s="2167"/>
      <c r="K18" s="2168"/>
      <c r="L18" s="570" t="s">
        <v>683</v>
      </c>
      <c r="M18" s="577" t="str">
        <f>IF(E18="","",$L$10*F18/$G$27)</f>
        <v/>
      </c>
      <c r="N18" s="103"/>
      <c r="O18" s="103"/>
      <c r="P18" s="105"/>
      <c r="Q18" s="1861" t="s">
        <v>1329</v>
      </c>
      <c r="R18" s="1862">
        <f>E20*3.5</f>
        <v>0</v>
      </c>
      <c r="S18" s="1245">
        <v>1</v>
      </c>
    </row>
    <row r="19" spans="1:20" ht="15.75" customHeight="1">
      <c r="A19" s="104"/>
      <c r="B19" s="2156" t="s">
        <v>689</v>
      </c>
      <c r="C19" s="2157"/>
      <c r="D19" s="556" t="s">
        <v>431</v>
      </c>
      <c r="E19" s="561"/>
      <c r="F19" s="550"/>
      <c r="G19" s="1853" t="str">
        <f t="shared" ref="G19:G21" si="0">IF(E19="","",E19/SUM($E$16:$E$18))</f>
        <v/>
      </c>
      <c r="H19" s="89"/>
      <c r="I19" s="325"/>
      <c r="J19" s="2156" t="s">
        <v>689</v>
      </c>
      <c r="K19" s="2157"/>
      <c r="L19" s="575" t="str">
        <f>D19</f>
        <v>Vand</v>
      </c>
      <c r="M19" s="576" t="str">
        <f>IF(E19="","",$L$10*G19/$G$27)</f>
        <v/>
      </c>
      <c r="N19" s="2172" t="str">
        <f>G19</f>
        <v/>
      </c>
      <c r="O19" s="2173"/>
      <c r="P19" s="105"/>
      <c r="R19" s="1316"/>
      <c r="S19" s="193"/>
    </row>
    <row r="20" spans="1:20" ht="15.75" customHeight="1">
      <c r="A20" s="104"/>
      <c r="B20" s="2158"/>
      <c r="C20" s="2159"/>
      <c r="D20" s="1855" t="s">
        <v>1328</v>
      </c>
      <c r="E20" s="562"/>
      <c r="F20" s="551"/>
      <c r="G20" s="585" t="str">
        <f t="shared" si="0"/>
        <v/>
      </c>
      <c r="H20" s="89"/>
      <c r="I20" s="325"/>
      <c r="J20" s="2158"/>
      <c r="K20" s="2159"/>
      <c r="L20" s="1854" t="s">
        <v>1328</v>
      </c>
      <c r="M20" s="1859" t="str">
        <f>IF(E20="","",$L$10*G20*R20/$G$27)</f>
        <v/>
      </c>
      <c r="N20" s="2152"/>
      <c r="O20" s="2153"/>
      <c r="P20" s="105"/>
      <c r="Q20" s="938" t="s">
        <v>1332</v>
      </c>
      <c r="R20" s="1316">
        <f>INDEX(R17:S18,MATCH(D20,Q17:Q18, 0),MATCH(L20, R16:S16, 0))</f>
        <v>1</v>
      </c>
      <c r="S20" s="193"/>
    </row>
    <row r="21" spans="1:20" ht="15.75" customHeight="1">
      <c r="A21" s="104"/>
      <c r="B21" s="2158"/>
      <c r="C21" s="2159"/>
      <c r="D21" s="556" t="s">
        <v>219</v>
      </c>
      <c r="E21" s="563"/>
      <c r="F21" s="551"/>
      <c r="G21" s="585" t="str">
        <f t="shared" si="0"/>
        <v/>
      </c>
      <c r="H21" s="89"/>
      <c r="I21" s="325"/>
      <c r="J21" s="2158"/>
      <c r="K21" s="2159"/>
      <c r="L21" s="209" t="str">
        <f>D21</f>
        <v>Salt</v>
      </c>
      <c r="M21" s="572" t="str">
        <f t="shared" ref="M21:M26" si="1">IF(E21="","",$L$10*G21/$G$27)</f>
        <v/>
      </c>
      <c r="N21" s="103"/>
      <c r="O21" s="103"/>
      <c r="P21" s="105"/>
      <c r="Q21" s="938"/>
      <c r="S21" s="193"/>
    </row>
    <row r="22" spans="1:20" ht="15.75" customHeight="1">
      <c r="A22" s="104"/>
      <c r="B22" s="2158"/>
      <c r="C22" s="2159"/>
      <c r="D22" s="554"/>
      <c r="E22" s="564"/>
      <c r="F22" s="551"/>
      <c r="G22" s="585" t="str">
        <f>IF(E22="","",E22/SUM($E$16:$E$18))</f>
        <v/>
      </c>
      <c r="H22" s="89"/>
      <c r="I22" s="325"/>
      <c r="J22" s="2158"/>
      <c r="K22" s="2159"/>
      <c r="L22" s="209" t="str">
        <f>IF(D22="","",D22)</f>
        <v/>
      </c>
      <c r="M22" s="573" t="str">
        <f t="shared" si="1"/>
        <v/>
      </c>
      <c r="N22" s="103"/>
      <c r="O22" s="103"/>
      <c r="P22" s="105"/>
    </row>
    <row r="23" spans="1:20" ht="15.75" customHeight="1">
      <c r="A23" s="104"/>
      <c r="B23" s="2158"/>
      <c r="C23" s="2159"/>
      <c r="D23" s="554"/>
      <c r="E23" s="564"/>
      <c r="F23" s="551"/>
      <c r="G23" s="585" t="str">
        <f t="shared" ref="G23:G26" si="2">IF(E23="","",E23/SUM($E$16:$E$18))</f>
        <v/>
      </c>
      <c r="H23" s="89"/>
      <c r="I23" s="325"/>
      <c r="J23" s="2158"/>
      <c r="K23" s="2159"/>
      <c r="L23" s="209" t="str">
        <f t="shared" ref="L23:L26" si="3">IF(D23="","",D23)</f>
        <v/>
      </c>
      <c r="M23" s="573" t="str">
        <f t="shared" si="1"/>
        <v/>
      </c>
      <c r="N23" s="103"/>
      <c r="O23" s="103"/>
      <c r="P23" s="105"/>
      <c r="T23" s="193"/>
    </row>
    <row r="24" spans="1:20" ht="15.75" customHeight="1">
      <c r="A24" s="104"/>
      <c r="B24" s="2158"/>
      <c r="C24" s="2159"/>
      <c r="D24" s="554"/>
      <c r="E24" s="564"/>
      <c r="F24" s="551"/>
      <c r="G24" s="585" t="str">
        <f t="shared" si="2"/>
        <v/>
      </c>
      <c r="H24" s="89"/>
      <c r="I24" s="325"/>
      <c r="J24" s="2158"/>
      <c r="K24" s="2159"/>
      <c r="L24" s="209" t="str">
        <f t="shared" si="3"/>
        <v/>
      </c>
      <c r="M24" s="573" t="str">
        <f t="shared" si="1"/>
        <v/>
      </c>
      <c r="N24" s="103"/>
      <c r="O24" s="103"/>
      <c r="P24" s="105"/>
      <c r="T24" s="1316"/>
    </row>
    <row r="25" spans="1:20" ht="15.75" customHeight="1">
      <c r="A25" s="104"/>
      <c r="B25" s="2158"/>
      <c r="C25" s="2159"/>
      <c r="D25" s="554"/>
      <c r="E25" s="564"/>
      <c r="F25" s="551"/>
      <c r="G25" s="585" t="str">
        <f t="shared" si="2"/>
        <v/>
      </c>
      <c r="H25" s="89"/>
      <c r="I25" s="325"/>
      <c r="J25" s="2158"/>
      <c r="K25" s="2159"/>
      <c r="L25" s="209" t="str">
        <f t="shared" si="3"/>
        <v/>
      </c>
      <c r="M25" s="573" t="str">
        <f t="shared" si="1"/>
        <v/>
      </c>
      <c r="N25" s="103"/>
      <c r="O25" s="103"/>
      <c r="P25" s="105"/>
      <c r="T25" s="193"/>
    </row>
    <row r="26" spans="1:20" ht="15.75" customHeight="1">
      <c r="A26" s="104"/>
      <c r="B26" s="2160"/>
      <c r="C26" s="2161"/>
      <c r="D26" s="553"/>
      <c r="E26" s="565"/>
      <c r="F26" s="552"/>
      <c r="G26" s="586" t="str">
        <f t="shared" si="2"/>
        <v/>
      </c>
      <c r="H26" s="89"/>
      <c r="I26" s="325"/>
      <c r="J26" s="2160"/>
      <c r="K26" s="2161"/>
      <c r="L26" s="570" t="str">
        <f t="shared" si="3"/>
        <v/>
      </c>
      <c r="M26" s="574" t="str">
        <f t="shared" si="1"/>
        <v/>
      </c>
      <c r="N26" s="103"/>
      <c r="O26" s="103"/>
      <c r="P26" s="105"/>
      <c r="T26" s="193"/>
    </row>
    <row r="27" spans="1:20" ht="15.75">
      <c r="A27" s="104"/>
      <c r="B27" s="104"/>
      <c r="C27" s="104"/>
      <c r="D27" s="104"/>
      <c r="E27" s="1856">
        <f>SUM(E16:E26)</f>
        <v>0</v>
      </c>
      <c r="F27" s="1857"/>
      <c r="G27" s="1858">
        <f>SUM(G16:G26)</f>
        <v>0</v>
      </c>
      <c r="H27" s="104"/>
      <c r="I27" s="325"/>
      <c r="J27" s="103"/>
      <c r="K27" s="103"/>
      <c r="L27" s="103"/>
      <c r="M27" s="1856">
        <f>SUM(M16:M26)</f>
        <v>0</v>
      </c>
      <c r="N27" s="103"/>
      <c r="O27" s="103"/>
      <c r="P27" s="105"/>
    </row>
    <row r="28" spans="1:20" ht="15.75">
      <c r="A28" s="104"/>
      <c r="B28" s="104"/>
      <c r="C28" s="104"/>
      <c r="D28" s="104"/>
      <c r="E28" s="104"/>
      <c r="F28" s="104"/>
      <c r="G28" s="587"/>
      <c r="H28" s="104"/>
      <c r="I28" s="103"/>
      <c r="J28" s="103"/>
      <c r="K28" s="103"/>
      <c r="L28" s="103"/>
      <c r="M28" s="103"/>
      <c r="N28" s="103"/>
      <c r="O28" s="103"/>
      <c r="P28" s="105"/>
    </row>
    <row r="29" spans="1:20" ht="15.75">
      <c r="A29" s="104"/>
      <c r="B29" s="578" t="s">
        <v>305</v>
      </c>
      <c r="C29" s="579" t="str">
        <f>G19</f>
        <v/>
      </c>
      <c r="D29" s="104"/>
      <c r="E29" s="104"/>
      <c r="F29" s="104"/>
      <c r="G29" s="104"/>
      <c r="H29" s="104"/>
      <c r="I29" s="103"/>
      <c r="J29" s="103"/>
      <c r="K29" s="103"/>
      <c r="L29" s="103"/>
      <c r="M29" s="580" t="s">
        <v>523</v>
      </c>
      <c r="N29" s="103"/>
      <c r="O29" s="103"/>
      <c r="P29" s="105"/>
    </row>
    <row r="30" spans="1:20" ht="15.75">
      <c r="A30" s="103"/>
      <c r="B30" s="103"/>
      <c r="C30" s="103"/>
      <c r="D30" s="103"/>
      <c r="E30" s="103"/>
      <c r="F30" s="103"/>
      <c r="G30" s="103"/>
      <c r="H30" s="103"/>
      <c r="I30" s="103"/>
      <c r="J30" s="103"/>
      <c r="K30" s="103"/>
      <c r="L30" s="103"/>
      <c r="M30" s="89"/>
      <c r="N30" s="103"/>
      <c r="O30" s="103"/>
      <c r="P30" s="105"/>
    </row>
    <row r="31" spans="1:20"/>
    <row r="1048532" ht="15" hidden="1" customHeight="1"/>
    <row r="1048564" ht="15" hidden="1" customHeight="1"/>
  </sheetData>
  <sheetProtection algorithmName="SHA-512" hashValue="qQXaTuY2TiSBiTEpTWfob4LuH0k/NUGl01K6kKgzksG93a2/6anTp0wncOU4sI1DhibV/Rv00eVA5c7grdmP7A==" saltValue="kNhcHKZkZ5rcQ6kjXWVrPg==" spinCount="100000" sheet="1" objects="1" scenarios="1" selectLockedCells="1"/>
  <mergeCells count="9">
    <mergeCell ref="N20:O20"/>
    <mergeCell ref="B2:H4"/>
    <mergeCell ref="B19:C26"/>
    <mergeCell ref="G16:G18"/>
    <mergeCell ref="B16:C18"/>
    <mergeCell ref="J16:K18"/>
    <mergeCell ref="J19:K26"/>
    <mergeCell ref="B6:G8"/>
    <mergeCell ref="N19:O19"/>
  </mergeCells>
  <dataValidations count="1">
    <dataValidation type="list" allowBlank="1" showInputMessage="1" showErrorMessage="1" sqref="L20 D20" xr:uid="{6300F4E5-FFB4-4279-B96F-BC5836307829}">
      <formula1>"Frisk gær,Tørgær"</formula1>
    </dataValidation>
  </dataValidations>
  <pageMargins left="0.25" right="0.25"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E5D8E-CD45-49B5-A47D-5476CC0C910F}">
  <sheetPr codeName="Ark8"/>
  <dimension ref="A2:P39"/>
  <sheetViews>
    <sheetView workbookViewId="0">
      <selection activeCell="E36" sqref="E36"/>
    </sheetView>
  </sheetViews>
  <sheetFormatPr defaultColWidth="8.7109375" defaultRowHeight="15"/>
  <cols>
    <col min="1" max="1" width="8.7109375" style="18"/>
    <col min="2" max="2" width="100.42578125" style="17" customWidth="1"/>
    <col min="3" max="3" width="3" customWidth="1"/>
  </cols>
  <sheetData>
    <row r="2" spans="1:16" ht="30">
      <c r="A2" s="16" t="s">
        <v>3</v>
      </c>
      <c r="B2" s="17" t="s">
        <v>215</v>
      </c>
    </row>
    <row r="3" spans="1:16">
      <c r="A3" s="16" t="s">
        <v>3</v>
      </c>
      <c r="B3" s="17" t="s">
        <v>217</v>
      </c>
    </row>
    <row r="4" spans="1:16">
      <c r="A4" s="16"/>
      <c r="B4" s="17" t="s">
        <v>218</v>
      </c>
    </row>
    <row r="6" spans="1:16" ht="45">
      <c r="A6" s="16" t="s">
        <v>3</v>
      </c>
      <c r="B6" s="24" t="s">
        <v>27</v>
      </c>
      <c r="D6" s="8"/>
      <c r="E6" s="9"/>
      <c r="F6" s="9"/>
      <c r="G6" s="9"/>
      <c r="H6" s="9"/>
      <c r="I6" s="9"/>
      <c r="J6" s="9"/>
      <c r="K6" s="9"/>
      <c r="L6" s="9"/>
      <c r="M6" s="9"/>
      <c r="N6" s="9"/>
      <c r="O6" s="25"/>
      <c r="P6" s="10"/>
    </row>
    <row r="7" spans="1:16">
      <c r="A7" s="16"/>
      <c r="D7" s="7"/>
      <c r="E7" s="15" t="s">
        <v>6</v>
      </c>
      <c r="F7" s="5"/>
      <c r="G7" s="2174" t="s">
        <v>7</v>
      </c>
      <c r="H7" s="2174"/>
      <c r="I7" s="2174"/>
      <c r="J7" s="2174"/>
      <c r="K7" s="2174"/>
      <c r="L7" s="2174"/>
      <c r="M7" s="2174"/>
      <c r="N7" s="2174"/>
      <c r="O7" s="11"/>
      <c r="P7" s="6"/>
    </row>
    <row r="8" spans="1:16" ht="30">
      <c r="A8" s="16" t="s">
        <v>3</v>
      </c>
      <c r="B8" s="24" t="s">
        <v>79</v>
      </c>
      <c r="D8" s="7"/>
      <c r="E8" s="15"/>
      <c r="F8" s="5"/>
      <c r="G8" s="5"/>
      <c r="H8" s="5"/>
      <c r="I8" s="5"/>
      <c r="J8" s="5"/>
      <c r="K8" s="5"/>
      <c r="L8" s="5"/>
      <c r="M8" s="5"/>
      <c r="N8" s="5"/>
      <c r="O8" s="11"/>
      <c r="P8" s="6"/>
    </row>
    <row r="9" spans="1:16">
      <c r="A9" s="16"/>
      <c r="D9" s="7"/>
      <c r="E9" s="15" t="s">
        <v>14</v>
      </c>
      <c r="F9" s="5"/>
      <c r="G9" s="5"/>
      <c r="H9" s="5"/>
      <c r="I9" s="5"/>
      <c r="J9" s="5"/>
      <c r="K9" s="5"/>
      <c r="L9" s="5"/>
      <c r="M9" s="5"/>
      <c r="N9" s="5"/>
      <c r="O9" s="11"/>
      <c r="P9" s="6"/>
    </row>
    <row r="10" spans="1:16">
      <c r="A10" s="16" t="s">
        <v>3</v>
      </c>
      <c r="B10" s="17" t="s">
        <v>80</v>
      </c>
      <c r="D10" s="7"/>
      <c r="E10" s="15"/>
      <c r="F10" s="5"/>
      <c r="G10" s="5"/>
      <c r="H10" s="5"/>
      <c r="I10" s="5"/>
      <c r="J10" s="5"/>
      <c r="K10" s="5"/>
      <c r="L10" s="5"/>
      <c r="M10" s="5"/>
      <c r="N10" s="5"/>
      <c r="O10" s="11"/>
      <c r="P10" s="6"/>
    </row>
    <row r="11" spans="1:16">
      <c r="A11" s="16" t="s">
        <v>3</v>
      </c>
      <c r="B11" s="24" t="s">
        <v>184</v>
      </c>
      <c r="D11" s="7"/>
      <c r="E11" s="15" t="s">
        <v>15</v>
      </c>
      <c r="F11" s="5"/>
      <c r="G11" s="5"/>
      <c r="H11" s="5"/>
      <c r="I11" s="5"/>
      <c r="J11" s="5"/>
      <c r="K11" s="5"/>
      <c r="L11" s="5"/>
      <c r="M11" s="5"/>
      <c r="N11" s="5"/>
      <c r="O11" s="11"/>
      <c r="P11" s="6"/>
    </row>
    <row r="12" spans="1:16">
      <c r="A12" s="16"/>
      <c r="D12" s="7"/>
      <c r="E12" s="15" t="s">
        <v>16</v>
      </c>
      <c r="F12" s="5"/>
      <c r="G12" s="5"/>
      <c r="H12" s="5"/>
      <c r="I12" s="5"/>
      <c r="J12" s="5"/>
      <c r="K12" s="5"/>
      <c r="L12" s="5"/>
      <c r="M12" s="5"/>
      <c r="N12" s="5"/>
      <c r="O12" s="11"/>
      <c r="P12" s="6"/>
    </row>
    <row r="13" spans="1:16">
      <c r="A13" s="20" t="s">
        <v>3</v>
      </c>
      <c r="B13" s="21" t="s">
        <v>32</v>
      </c>
      <c r="C13" s="5"/>
      <c r="D13" s="7"/>
      <c r="E13" s="15" t="s">
        <v>17</v>
      </c>
      <c r="F13" s="5"/>
      <c r="G13" s="5"/>
      <c r="H13" s="5"/>
      <c r="I13" s="5"/>
      <c r="J13" s="5"/>
      <c r="K13" s="5"/>
      <c r="L13" s="5"/>
      <c r="M13" s="5"/>
      <c r="N13" s="5"/>
      <c r="O13" s="11"/>
      <c r="P13" s="6"/>
    </row>
    <row r="14" spans="1:16" ht="45">
      <c r="A14" s="20" t="s">
        <v>3</v>
      </c>
      <c r="B14" s="21" t="s">
        <v>34</v>
      </c>
      <c r="C14" s="5"/>
      <c r="D14" s="7"/>
      <c r="E14" s="15" t="s">
        <v>18</v>
      </c>
      <c r="F14" s="5"/>
      <c r="G14" s="5"/>
      <c r="H14" s="5"/>
      <c r="I14" s="5"/>
      <c r="J14" s="5"/>
      <c r="K14" s="5"/>
      <c r="L14" s="5"/>
      <c r="M14" s="5"/>
      <c r="N14" s="5"/>
      <c r="O14" s="11"/>
      <c r="P14" s="6"/>
    </row>
    <row r="15" spans="1:16">
      <c r="A15" s="20" t="s">
        <v>3</v>
      </c>
      <c r="B15" s="21" t="s">
        <v>33</v>
      </c>
      <c r="C15" s="5"/>
      <c r="D15" s="7"/>
      <c r="E15" s="15" t="s">
        <v>19</v>
      </c>
      <c r="F15" s="5"/>
      <c r="G15" s="5"/>
      <c r="H15" s="5"/>
      <c r="I15" s="5"/>
      <c r="J15" s="5"/>
      <c r="K15" s="5"/>
      <c r="L15" s="5"/>
      <c r="M15" s="5"/>
      <c r="N15" s="5"/>
      <c r="O15" s="11"/>
      <c r="P15" s="6"/>
    </row>
    <row r="16" spans="1:16">
      <c r="A16" s="20" t="s">
        <v>3</v>
      </c>
      <c r="B16" s="21" t="s">
        <v>35</v>
      </c>
      <c r="C16" s="5"/>
      <c r="D16" s="7"/>
      <c r="E16" s="15" t="s">
        <v>20</v>
      </c>
      <c r="F16" s="5"/>
      <c r="G16" s="5"/>
      <c r="H16" s="5"/>
      <c r="I16" s="5"/>
      <c r="J16" s="5"/>
      <c r="K16" s="5"/>
      <c r="L16" s="5"/>
      <c r="M16" s="5"/>
      <c r="N16" s="5"/>
      <c r="O16" s="11"/>
      <c r="P16" s="6"/>
    </row>
    <row r="17" spans="1:16">
      <c r="A17" s="20" t="s">
        <v>3</v>
      </c>
      <c r="B17" s="21" t="s">
        <v>36</v>
      </c>
      <c r="C17" s="5"/>
      <c r="D17" s="7"/>
      <c r="E17" s="15" t="s">
        <v>21</v>
      </c>
      <c r="F17" s="5"/>
      <c r="G17" s="5"/>
      <c r="H17" s="5"/>
      <c r="I17" s="5"/>
      <c r="J17" s="5"/>
      <c r="K17" s="5"/>
      <c r="L17" s="5"/>
      <c r="M17" s="5"/>
      <c r="N17" s="5"/>
      <c r="O17" s="11"/>
      <c r="P17" s="6"/>
    </row>
    <row r="18" spans="1:16" ht="30">
      <c r="A18" s="20" t="s">
        <v>3</v>
      </c>
      <c r="B18" s="21" t="s">
        <v>77</v>
      </c>
      <c r="C18" s="5"/>
      <c r="D18" s="7"/>
      <c r="E18" s="15" t="s">
        <v>22</v>
      </c>
      <c r="F18" s="5"/>
      <c r="G18" s="5"/>
      <c r="H18" s="5"/>
      <c r="I18" s="5"/>
      <c r="J18" s="5"/>
      <c r="K18" s="5"/>
      <c r="L18" s="5"/>
      <c r="M18" s="5"/>
      <c r="N18" s="5"/>
      <c r="O18" s="11"/>
      <c r="P18" s="6"/>
    </row>
    <row r="19" spans="1:16" ht="30">
      <c r="A19" s="20" t="s">
        <v>3</v>
      </c>
      <c r="B19" s="23" t="s">
        <v>37</v>
      </c>
      <c r="C19" s="27"/>
      <c r="D19" s="2"/>
      <c r="E19" s="3"/>
      <c r="F19" s="3"/>
      <c r="G19" s="3"/>
      <c r="H19" s="3"/>
      <c r="I19" s="3"/>
      <c r="J19" s="3"/>
      <c r="K19" s="3"/>
      <c r="L19" s="3"/>
      <c r="M19" s="3"/>
      <c r="N19" s="3"/>
      <c r="O19" s="26"/>
      <c r="P19" s="4"/>
    </row>
    <row r="20" spans="1:16">
      <c r="A20" s="20" t="s">
        <v>3</v>
      </c>
      <c r="B20" s="23" t="s">
        <v>76</v>
      </c>
      <c r="C20" s="27"/>
    </row>
    <row r="21" spans="1:16" ht="225">
      <c r="A21" s="20" t="s">
        <v>3</v>
      </c>
      <c r="B21" s="23" t="s">
        <v>78</v>
      </c>
      <c r="C21" s="27"/>
    </row>
    <row r="22" spans="1:16">
      <c r="B22" s="19"/>
    </row>
    <row r="23" spans="1:16">
      <c r="B23" s="19"/>
    </row>
    <row r="24" spans="1:16" ht="30">
      <c r="A24" s="20" t="s">
        <v>3</v>
      </c>
      <c r="B24" s="17" t="s">
        <v>82</v>
      </c>
    </row>
    <row r="25" spans="1:16" ht="60">
      <c r="A25" s="20" t="s">
        <v>3</v>
      </c>
      <c r="B25" s="17" t="s">
        <v>81</v>
      </c>
    </row>
    <row r="27" spans="1:16" ht="18.75">
      <c r="A27" s="83" t="s">
        <v>83</v>
      </c>
      <c r="B27" s="84"/>
    </row>
    <row r="32" spans="1:16" ht="18.75">
      <c r="A32" s="85" t="s">
        <v>299</v>
      </c>
      <c r="B32" s="86"/>
      <c r="C32" s="82"/>
    </row>
    <row r="33" spans="1:3">
      <c r="A33" s="87"/>
      <c r="B33" s="21" t="s">
        <v>302</v>
      </c>
      <c r="C33" s="5"/>
    </row>
    <row r="34" spans="1:3">
      <c r="A34" s="87"/>
      <c r="B34" s="21"/>
      <c r="C34" s="5"/>
    </row>
    <row r="35" spans="1:3" ht="60">
      <c r="A35" s="87"/>
      <c r="B35" s="21" t="s">
        <v>300</v>
      </c>
      <c r="C35" s="5"/>
    </row>
    <row r="36" spans="1:3">
      <c r="A36" s="87"/>
      <c r="B36" s="21"/>
      <c r="C36" s="5"/>
    </row>
    <row r="37" spans="1:3" ht="48" customHeight="1">
      <c r="A37" s="87"/>
      <c r="B37" s="21" t="s">
        <v>301</v>
      </c>
      <c r="C37" s="5"/>
    </row>
    <row r="38" spans="1:3">
      <c r="A38" s="87"/>
      <c r="B38" s="21"/>
      <c r="C38" s="5"/>
    </row>
    <row r="39" spans="1:3">
      <c r="C39" s="5"/>
    </row>
  </sheetData>
  <sheetProtection sheet="1" objects="1" scenarios="1"/>
  <mergeCells count="1">
    <mergeCell ref="G7:N7"/>
  </mergeCells>
  <hyperlinks>
    <hyperlink ref="G7" r:id="rId1" xr:uid="{40CB67FC-FB0C-4A2B-B6EE-C5C4CB89527E}"/>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89AA37-11F1-4891-B222-0CB8BFB923DD}">
  <ds:schemaRefs>
    <ds:schemaRef ds:uri="http://schemas.microsoft.com/DataMashup"/>
  </ds:schemaRefs>
</ds:datastoreItem>
</file>

<file path=docMetadata/LabelInfo.xml><?xml version="1.0" encoding="utf-8"?>
<clbl:labelList xmlns:clbl="http://schemas.microsoft.com/office/2020/mipLabelMetadata">
  <clbl:label id="{4d12be1c-d27c-4ec9-b239-ad171082eb1d}" enabled="1" method="Privileged" siteId="{f0bdc1c9-5148-4f86-ac40-edd976e1814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29</vt:i4>
      </vt:variant>
      <vt:variant>
        <vt:lpstr>Navngivne områder</vt:lpstr>
      </vt:variant>
      <vt:variant>
        <vt:i4>23</vt:i4>
      </vt:variant>
    </vt:vector>
  </HeadingPairs>
  <TitlesOfParts>
    <vt:vector size="52" baseType="lpstr">
      <vt:lpstr>HJEM</vt:lpstr>
      <vt:lpstr>Vito poolish</vt:lpstr>
      <vt:lpstr>Gorms pizzadej</vt:lpstr>
      <vt:lpstr>Umuts pizzadej</vt:lpstr>
      <vt:lpstr>Tony tiga+poolish</vt:lpstr>
      <vt:lpstr>Seb_24t</vt:lpstr>
      <vt:lpstr>Seb_biga</vt:lpstr>
      <vt:lpstr>PPAH_NY</vt:lpstr>
      <vt:lpstr>NY style</vt:lpstr>
      <vt:lpstr>NY_PizzaPal</vt:lpstr>
      <vt:lpstr>BK_Handaelt</vt:lpstr>
      <vt:lpstr>BK_napoli</vt:lpstr>
      <vt:lpstr>BK_poolish</vt:lpstr>
      <vt:lpstr>BK_surdej</vt:lpstr>
      <vt:lpstr>BK_bageenzym</vt:lpstr>
      <vt:lpstr>BK_biga_v1</vt:lpstr>
      <vt:lpstr>BK_biga_v2</vt:lpstr>
      <vt:lpstr>BK_detroit</vt:lpstr>
      <vt:lpstr>BK_glut_h</vt:lpstr>
      <vt:lpstr>Spread</vt:lpstr>
      <vt:lpstr>Beregnere</vt:lpstr>
      <vt:lpstr>Tomatsauce</vt:lpstr>
      <vt:lpstr>Mel</vt:lpstr>
      <vt:lpstr>Gær</vt:lpstr>
      <vt:lpstr>Vand</vt:lpstr>
      <vt:lpstr>Øvrigt</vt:lpstr>
      <vt:lpstr>Toppings</vt:lpstr>
      <vt:lpstr>Skaler</vt:lpstr>
      <vt:lpstr>Tips</vt:lpstr>
      <vt:lpstr>BK_bageenzym!Udskriftsområde</vt:lpstr>
      <vt:lpstr>BK_biga_v1!Udskriftsområde</vt:lpstr>
      <vt:lpstr>BK_biga_v2!Udskriftsområde</vt:lpstr>
      <vt:lpstr>BK_detroit!Udskriftsområde</vt:lpstr>
      <vt:lpstr>BK_glut_h!Udskriftsområde</vt:lpstr>
      <vt:lpstr>BK_Handaelt!Udskriftsområde</vt:lpstr>
      <vt:lpstr>BK_napoli!Udskriftsområde</vt:lpstr>
      <vt:lpstr>BK_poolish!Udskriftsområde</vt:lpstr>
      <vt:lpstr>BK_surdej!Udskriftsområde</vt:lpstr>
      <vt:lpstr>'Gorms pizzadej'!Udskriftsområde</vt:lpstr>
      <vt:lpstr>'NY style'!Udskriftsområde</vt:lpstr>
      <vt:lpstr>NY_PizzaPal!Udskriftsområde</vt:lpstr>
      <vt:lpstr>PPAH_NY!Udskriftsområde</vt:lpstr>
      <vt:lpstr>Seb_24t!Udskriftsområde</vt:lpstr>
      <vt:lpstr>Seb_biga!Udskriftsområde</vt:lpstr>
      <vt:lpstr>Skaler!Udskriftsområde</vt:lpstr>
      <vt:lpstr>Spread!Udskriftsområde</vt:lpstr>
      <vt:lpstr>Tomatsauce!Udskriftsområde</vt:lpstr>
      <vt:lpstr>'Tony tiga+poolish'!Udskriftsområde</vt:lpstr>
      <vt:lpstr>Toppings!Udskriftsområde</vt:lpstr>
      <vt:lpstr>'Umuts pizzadej'!Udskriftsområde</vt:lpstr>
      <vt:lpstr>'Vito poolish'!Udskriftsområde</vt:lpstr>
      <vt:lpstr>Øvrigt!Udskriftsområde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Kristensen, Torben</dc:creator>
  <cp:lastModifiedBy>Kristensen, Torben</cp:lastModifiedBy>
  <cp:lastPrinted>2025-04-12T11:46:15Z</cp:lastPrinted>
  <dcterms:created xsi:type="dcterms:W3CDTF">2021-06-15T14:29:58Z</dcterms:created>
  <dcterms:modified xsi:type="dcterms:W3CDTF">2025-09-21T12:31:22Z</dcterms:modified>
</cp:coreProperties>
</file>