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chool\2ndyr\1stsem\emag\generotr\"/>
    </mc:Choice>
  </mc:AlternateContent>
  <xr:revisionPtr revIDLastSave="0" documentId="13_ncr:1_{980A28E1-3A52-4CD6-B9A2-D6187AE3C6E5}" xr6:coauthVersionLast="47" xr6:coauthVersionMax="47" xr10:uidLastSave="{00000000-0000-0000-0000-000000000000}"/>
  <bookViews>
    <workbookView xWindow="-108" yWindow="-108" windowWidth="23256" windowHeight="12456" activeTab="1" xr2:uid="{43969D58-BB31-47A6-900F-0CFEDA7ECAD4}"/>
  </bookViews>
  <sheets>
    <sheet name="README" sheetId="1" r:id="rId1"/>
    <sheet name="General guidelines" sheetId="6" r:id="rId2"/>
    <sheet name="DOCUMENTS RELATED INFO" sheetId="5" r:id="rId3"/>
    <sheet name="Expenses" sheetId="4" r:id="rId4"/>
    <sheet name="Materials" sheetId="3" r:id="rId5"/>
    <sheet name="Materials - Magnet Selection" sheetId="2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4" l="1"/>
  <c r="E19" i="4"/>
  <c r="E5" i="4"/>
  <c r="E7" i="4"/>
  <c r="E10" i="4"/>
  <c r="E11" i="4"/>
  <c r="E6" i="4"/>
  <c r="D8" i="4"/>
  <c r="E8" i="4"/>
  <c r="G3" i="2"/>
  <c r="G4" i="2"/>
  <c r="G33" i="2"/>
  <c r="G35" i="2" s="1"/>
  <c r="F30" i="2"/>
  <c r="F15" i="2"/>
  <c r="F12" i="2"/>
  <c r="J8" i="2"/>
  <c r="L8" i="2" s="1"/>
  <c r="H8" i="2"/>
  <c r="G8" i="2"/>
  <c r="F8" i="2"/>
  <c r="J7" i="2"/>
  <c r="F7" i="2" s="1"/>
  <c r="H7" i="2"/>
  <c r="G7" i="2"/>
  <c r="H6" i="2"/>
  <c r="J6" i="2" s="1"/>
  <c r="G6" i="2"/>
  <c r="F21" i="2" s="1"/>
  <c r="F22" i="2" s="1"/>
  <c r="F25" i="2" s="1"/>
  <c r="L5" i="2"/>
  <c r="J5" i="2"/>
  <c r="H5" i="2"/>
  <c r="G5" i="2"/>
  <c r="F5" i="2" s="1"/>
  <c r="L4" i="2"/>
  <c r="J4" i="2"/>
  <c r="H4" i="2"/>
  <c r="F4" i="2"/>
  <c r="J3" i="2"/>
  <c r="L3" i="2" s="1"/>
  <c r="H3" i="2"/>
  <c r="F3" i="2"/>
  <c r="L6" i="2" l="1"/>
  <c r="F6" i="2"/>
  <c r="L7" i="2"/>
</calcChain>
</file>

<file path=xl/sharedStrings.xml><?xml version="1.0" encoding="utf-8"?>
<sst xmlns="http://schemas.openxmlformats.org/spreadsheetml/2006/main" count="241" uniqueCount="172">
  <si>
    <t>https://youtu.be/yiD5nCfmbV0</t>
  </si>
  <si>
    <t>https://www.youtube.com/watch?v=bCEiOnuODac</t>
  </si>
  <si>
    <t>concepts:</t>
  </si>
  <si>
    <t>bldc motors</t>
  </si>
  <si>
    <t>how to make</t>
  </si>
  <si>
    <t>batteries</t>
  </si>
  <si>
    <t>https://hobbyking.com/en_us/blog/reading-and-understanding-lipo-batteries/?___store=en_us</t>
  </si>
  <si>
    <t>how to know wtf is this motor's current speed</t>
  </si>
  <si>
    <t>https://e2e.ti.com/support/motor-drivers-group/motor-drivers/f/motor-drivers-forum/366017/back-emf-or-hall-sensor-which-would-be-the-best</t>
  </si>
  <si>
    <t>suggestions:</t>
  </si>
  <si>
    <t>1.  materials:</t>
  </si>
  <si>
    <t>magnets</t>
  </si>
  <si>
    <t>shaft</t>
  </si>
  <si>
    <t>gears (bumili nalang tayo mga tig200 lang)</t>
  </si>
  <si>
    <t>bearing</t>
  </si>
  <si>
    <t>copper wires (coated; enameled)</t>
  </si>
  <si>
    <t>2. limitations:</t>
  </si>
  <si>
    <t>ndi na natin need ng oscilloscope</t>
  </si>
  <si>
    <t>-</t>
  </si>
  <si>
    <t>https://shopee.ph/Hobbywing-Skywalker-15A-20A-30A-40A-50A-60A-80A-ESC-for-RC-i.53025630.1165194150</t>
  </si>
  <si>
    <t>esc (kahit 20A lang)</t>
  </si>
  <si>
    <t>microcontroller (esp32)</t>
  </si>
  <si>
    <t>https://www.youtube.com/watch?v=uOQk8SJso6Q</t>
  </si>
  <si>
    <t>https://shopee.ph/-Univerlan-78pcs-Gearbox-toy-robot-motor-plastic-gear-DIY-model-accessories-HOT-SELL-i.179871873.15026360267</t>
  </si>
  <si>
    <t>https://www.youtube.com/watch?v=NbcJvGk72HY</t>
  </si>
  <si>
    <t>bdc</t>
  </si>
  <si>
    <t>bldc</t>
  </si>
  <si>
    <t>https://youtu.be/CWulQ1ZSE3c</t>
  </si>
  <si>
    <t xml:space="preserve">baysics ng dc motors </t>
  </si>
  <si>
    <t>must</t>
  </si>
  <si>
    <t>skim this sht</t>
  </si>
  <si>
    <t>bldc ang gagawin, ndi bdc</t>
  </si>
  <si>
    <t>inrunner ung gagawin</t>
  </si>
  <si>
    <t>ung output motion ng motor will be converted into HIGHER torque and LOWER speed -- gagamitin ung gears for that -- to make the "passengers" ng ferris wheel lumipad.</t>
  </si>
  <si>
    <t>must (how to control their speed)</t>
  </si>
  <si>
    <t>planks (para sa coil and the whole project)</t>
  </si>
  <si>
    <t>no.</t>
  </si>
  <si>
    <t>total volume in mm</t>
  </si>
  <si>
    <t>volume size in mm</t>
  </si>
  <si>
    <t>SURFACE AREA (mm) TIMES quantity per buy</t>
  </si>
  <si>
    <t>quantity per buy</t>
  </si>
  <si>
    <t>how many to buy (to get the target surface are of stator)</t>
  </si>
  <si>
    <t>pesos each buy</t>
  </si>
  <si>
    <t>total pesos</t>
  </si>
  <si>
    <t>link</t>
  </si>
  <si>
    <t>option</t>
  </si>
  <si>
    <t>type</t>
  </si>
  <si>
    <t>shape ( + describe the polarity)</t>
  </si>
  <si>
    <t>https://shopee.ph/product/590733809/22314109546?d_id=a94de</t>
  </si>
  <si>
    <t>neodymium</t>
  </si>
  <si>
    <t>https://shopee.ph/Ndfeb-Strong-Magnetic-Iron-Steel-Round-Magnet-8X5mm-10mmX2mm-Square-i.695869163.22240112136?sp_atk=20cbdc45-1ba8-420e-a857-3fbb36ea8554&amp;xptdk=20cbdc45-1ba8-420e-a857-3fbb36ea8554</t>
  </si>
  <si>
    <t>square 20x2</t>
  </si>
  <si>
    <t>https://shopee.ph/STRONG-CERAMIC-FERRITE-RECTANGLE-MAGNET-and-ROUND-MAGNET-for-School-Project-and-DIY-Experiment.-i.309964368.21814181743?is_from_login=true</t>
  </si>
  <si>
    <t>2 pcs 1x1/2x1/4</t>
  </si>
  <si>
    <t>ferrite</t>
  </si>
  <si>
    <t>10pcs 30x3</t>
  </si>
  <si>
    <t>1pc 40x20x8</t>
  </si>
  <si>
    <t>https://shopee.ph/1-Piece-20mm-x-20mm-x-3mm-(-20mm-L-x-20mm-W-x-3mm-H-)-Super-Strong-Neodymium-Rectangular-Bar-Magnet.-i.309964368.6183250145?sp_atk=24622d3e-1718-4baa-88d9-710afd4f766e&amp;xptdk=24622d3e-1718-4baa-88d9-710afd4f766e</t>
  </si>
  <si>
    <t>for no 1</t>
  </si>
  <si>
    <t>each piece only has x (in mm)</t>
  </si>
  <si>
    <t>TARGET SURFACE AREA FOR EACH UNIT IN THE STATOR</t>
  </si>
  <si>
    <t>mm surface area</t>
  </si>
  <si>
    <t>80 MM</t>
  </si>
  <si>
    <t>(40 x 20)mm</t>
  </si>
  <si>
    <t>8 CM</t>
  </si>
  <si>
    <t>(4 x 2)cm</t>
  </si>
  <si>
    <t>hence</t>
  </si>
  <si>
    <t>Theres 50 of these, hence</t>
  </si>
  <si>
    <t>STATOR HAS</t>
  </si>
  <si>
    <t>TOTAL UNITS</t>
  </si>
  <si>
    <t>cm</t>
  </si>
  <si>
    <t>total area</t>
  </si>
  <si>
    <t>mm^2</t>
  </si>
  <si>
    <t>Legend:</t>
  </si>
  <si>
    <t xml:space="preserve">yellow </t>
  </si>
  <si>
    <t>good contenders</t>
  </si>
  <si>
    <t>light orange</t>
  </si>
  <si>
    <t>important parts</t>
  </si>
  <si>
    <t>green</t>
  </si>
  <si>
    <t>for no 4</t>
  </si>
  <si>
    <t xml:space="preserve">each piece only has </t>
  </si>
  <si>
    <t>volume</t>
  </si>
  <si>
    <t>mm^3</t>
  </si>
  <si>
    <t>surface area</t>
  </si>
  <si>
    <t>as opposed to the target of 80mm surface (see q13)</t>
  </si>
  <si>
    <t>There is 10 of these, hence</t>
  </si>
  <si>
    <t>for 6</t>
  </si>
  <si>
    <t>in mm</t>
  </si>
  <si>
    <t>total surface area</t>
  </si>
  <si>
    <t>length</t>
  </si>
  <si>
    <t xml:space="preserve">volume </t>
  </si>
  <si>
    <t>axial (bar)</t>
  </si>
  <si>
    <t>axial (circle)</t>
  </si>
  <si>
    <t>ROTOR Magnet calculation</t>
  </si>
  <si>
    <t>Materials</t>
  </si>
  <si>
    <t>units</t>
  </si>
  <si>
    <t>how many</t>
  </si>
  <si>
    <t>link kay shope</t>
  </si>
  <si>
    <t>copper wire</t>
  </si>
  <si>
    <t>1 or 2</t>
  </si>
  <si>
    <t>https://shopee.ph/60m-10m-of-Magnet-Wire-Enameled-Copper-Wire-Winding-For-Making-Electromagnet-Motor-0.1mm-0.2mm-0.3mm-0.4mm-0.5mm-0.6mm-0.7mm-0.8mm-0.9mm-i.866205405.18246963879?sp_atk=ae06ff3a-610c-4cd3-855c-e95fd915dcec&amp;xptdk=ae06ff3a-610c-4cd3-855c-e95fd915dcec</t>
  </si>
  <si>
    <t>screw</t>
  </si>
  <si>
    <t>?</t>
  </si>
  <si>
    <t>breadboard / perfboard</t>
  </si>
  <si>
    <t>resin</t>
  </si>
  <si>
    <t>clay for resin</t>
  </si>
  <si>
    <t>microcontroller</t>
  </si>
  <si>
    <t xml:space="preserve">esc </t>
  </si>
  <si>
    <t>50m</t>
  </si>
  <si>
    <t>gears</t>
  </si>
  <si>
    <t>esp32</t>
  </si>
  <si>
    <t>20a</t>
  </si>
  <si>
    <r>
      <t xml:space="preserve">check </t>
    </r>
    <r>
      <rPr>
        <b/>
        <u/>
        <sz val="11"/>
        <color theme="1"/>
        <rFont val="Calibri"/>
        <family val="2"/>
        <scheme val="minor"/>
      </rPr>
      <t xml:space="preserve">MAGNET SELECTION </t>
    </r>
    <r>
      <rPr>
        <sz val="11"/>
        <color theme="1"/>
        <rFont val="Calibri"/>
        <family val="2"/>
        <scheme val="minor"/>
      </rPr>
      <t>tab</t>
    </r>
  </si>
  <si>
    <t>battery</t>
  </si>
  <si>
    <t>https://shopee.ph/608-608Z-608ZZ-608RS-608-2RS-Bearing-i.27267468.13275078714</t>
  </si>
  <si>
    <t>for RRL:</t>
  </si>
  <si>
    <t>science of electromagnets</t>
  </si>
  <si>
    <t>https://youtu.be/YYQayMrK4Fo?list=PLX-JqQpYfm1XB372KrjxN2yxgd2iYslIc</t>
  </si>
  <si>
    <t>item name</t>
  </si>
  <si>
    <t>quantity</t>
  </si>
  <si>
    <t xml:space="preserve">price </t>
  </si>
  <si>
    <t>unique item</t>
  </si>
  <si>
    <t>candidate 1 magnet</t>
  </si>
  <si>
    <t>candidate 2 magnet</t>
  </si>
  <si>
    <t>0.1mm 50m</t>
  </si>
  <si>
    <t>potentiometer</t>
  </si>
  <si>
    <t>topic</t>
  </si>
  <si>
    <t>coil winding</t>
  </si>
  <si>
    <t>https://www.globalspec.com/pfdetail/motors/motor-winding-calculations</t>
  </si>
  <si>
    <t>ano masasabi for this</t>
  </si>
  <si>
    <t>hall effect sensor</t>
  </si>
  <si>
    <t>https://electronoobs.com/eng_arduino_tut82.php</t>
  </si>
  <si>
    <t>https://www.diodes.com/assets/Datasheets/AH49E.pdf</t>
  </si>
  <si>
    <t>guide how to use</t>
  </si>
  <si>
    <t>bldc diy</t>
  </si>
  <si>
    <t>https://www.youtube.com/watch?v=wB1mUEClcNk</t>
  </si>
  <si>
    <t xml:space="preserve">fast af </t>
  </si>
  <si>
    <t>https://www.youtube.com/watch?v=Wqr1b4mWDsE</t>
  </si>
  <si>
    <t>battery holder (for 3 batteries in series)</t>
  </si>
  <si>
    <t>3 batteries</t>
  </si>
  <si>
    <t>18650 3Ah</t>
  </si>
  <si>
    <t>aligator clips</t>
  </si>
  <si>
    <t>49E</t>
  </si>
  <si>
    <t>Total</t>
  </si>
  <si>
    <t>https://www.quora.com/Increasing-the-number-of-coil-windings-on-an-electric-motor-does-not-always-increase-the-HP-of-the-motor-Therefore-what-does-the-number-of-windings-and-power-curve-look-like-for-an-electric-motor</t>
  </si>
  <si>
    <t>number</t>
  </si>
  <si>
    <t>supporting details</t>
  </si>
  <si>
    <t>jakob scherer = supporting argument</t>
  </si>
  <si>
    <t>links</t>
  </si>
  <si>
    <t>3s Li-ion/LiPo with at least 1.5 Ah</t>
  </si>
  <si>
    <t>https://shopee.ph/PKCell-3.7V-Lithium-ion-NMC-18650-21700-Battery-for-Solar-Electric-Scooter-Mini-Fan-Power-Bank-i.18252381.1670629656</t>
  </si>
  <si>
    <t>https://shopee.ph/60m-10m-of-Magnet-Wire-Enameled-Copper-Wire-Winding-For-Making-Electromagnet-Motor-0.1mm-0.2mm-0.3mm-0.4mm-0.5mm-0.6mm-0.7mm-0.8mm-0.9mm-i.866205405.18246963879</t>
  </si>
  <si>
    <t>https://shopee.ph/10pcs-Alligator-Clips-Electrical-DIY-Test-Leads-Alligator-Double-ended-Crocodile-Clips-Test-i.8710520.18989319838</t>
  </si>
  <si>
    <t>https://shopee.ph/10pcs-A3144-OH3144-OH137-49E-Hall-Effect-Sensor-Brushless-Electric-Motor-TO-92UA-A3144EUA-i.487295469.10441228144</t>
  </si>
  <si>
    <t>https://shopee.ph/Series-Battery-Holder-18650-with-Wire-1-Cell-2-Cell-3-Cell-1S-2S-3S-Single-Double-Triple-i.18252381.453473950</t>
  </si>
  <si>
    <t>https://shopee.ph/5-PCS-B10k-Rotary-Knob-type-10k-Ohm-Precision-Potentiometer-i.18252381.13228237269</t>
  </si>
  <si>
    <t>bk10 metallic</t>
  </si>
  <si>
    <t xml:space="preserve">will be updated further </t>
  </si>
  <si>
    <t>ples read these mdfking references</t>
  </si>
  <si>
    <t>then consult these for details</t>
  </si>
  <si>
    <t>REMOVED</t>
  </si>
  <si>
    <t>total pesos with shipping + (38 ph, 40 ch)</t>
  </si>
  <si>
    <t>https://www.monolithicpower.com/media/document/Brushless_DC_Motor_Fundamentals.pdf</t>
  </si>
  <si>
    <t>all r good resource</t>
  </si>
  <si>
    <t>bldc fundamentals</t>
  </si>
  <si>
    <t>bi directional level shift</t>
  </si>
  <si>
    <t>https://shopee.ph/Logic-Level-Converter-%E2%80%93-Bi-Directional-i.18252381.255177311</t>
  </si>
  <si>
    <t>gawin muna natin ung paper (intro-objectives and limitations, and rrl)</t>
  </si>
  <si>
    <t>tapos base dun sa mga naresearch nating theory in relation sa electromagnets at ung bldc motors, gawa na tayo ng design (which is ung methodology)</t>
  </si>
  <si>
    <t>meron na tayong placeholder design (temporary; nadecide kahapon sa meeting), pero magkaroroon ng minor changes dun after ng #1 step</t>
  </si>
  <si>
    <t>ang gist ng design:</t>
  </si>
  <si>
    <t>motor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</si>
</sst>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Border="1" applyAlignment="1">
      <alignment horizontal="center" wrapText="1"/>
    </xf>
    <xf numFmtId="0" fontId="0" fillId="0" borderId="5" xfId="0" applyBorder="1"/>
    <xf numFmtId="0" fontId="0" fillId="0" borderId="8" xfId="0" applyBorder="1"/>
    <xf numFmtId="0" fontId="2" fillId="0" borderId="0" xfId="0" applyFont="1"/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/>
    <xf numFmtId="0" fontId="0" fillId="2" borderId="1" xfId="0" applyFill="1" applyBorder="1"/>
    <xf numFmtId="0" fontId="1" fillId="0" borderId="1" xfId="1" applyBorder="1" applyAlignment="1">
      <alignment wrapText="1"/>
    </xf>
    <xf numFmtId="0" fontId="1" fillId="0" borderId="1" xfId="1" applyBorder="1"/>
    <xf numFmtId="16" fontId="0" fillId="0" borderId="0" xfId="0" applyNumberFormat="1"/>
    <xf numFmtId="0" fontId="3" fillId="0" borderId="5" xfId="0" applyFont="1" applyBorder="1"/>
    <xf numFmtId="0" fontId="3" fillId="0" borderId="7" xfId="0" applyFont="1" applyBorder="1"/>
    <xf numFmtId="0" fontId="0" fillId="0" borderId="14" xfId="0" applyBorder="1"/>
    <xf numFmtId="0" fontId="0" fillId="5" borderId="11" xfId="0" applyFill="1" applyBorder="1"/>
    <xf numFmtId="0" fontId="0" fillId="5" borderId="13" xfId="0" applyFill="1" applyBorder="1"/>
    <xf numFmtId="0" fontId="0" fillId="0" borderId="15" xfId="0" applyBorder="1"/>
    <xf numFmtId="0" fontId="0" fillId="5" borderId="8" xfId="0" applyFill="1" applyBorder="1"/>
    <xf numFmtId="0" fontId="0" fillId="5" borderId="10" xfId="0" applyFill="1" applyBorder="1"/>
    <xf numFmtId="0" fontId="0" fillId="0" borderId="9" xfId="0" applyBorder="1"/>
    <xf numFmtId="0" fontId="0" fillId="6" borderId="10" xfId="0" applyFill="1" applyBorder="1" applyAlignment="1">
      <alignment horizontal="left"/>
    </xf>
    <xf numFmtId="0" fontId="0" fillId="0" borderId="16" xfId="0" applyBorder="1"/>
    <xf numFmtId="0" fontId="0" fillId="5" borderId="9" xfId="0" applyFill="1" applyBorder="1" applyAlignment="1">
      <alignment horizontal="center"/>
    </xf>
    <xf numFmtId="0" fontId="0" fillId="0" borderId="10" xfId="0" applyBorder="1"/>
    <xf numFmtId="0" fontId="3" fillId="0" borderId="0" xfId="0" applyFont="1"/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  <xf numFmtId="0" fontId="0" fillId="7" borderId="1" xfId="0" applyFill="1" applyBorder="1" applyAlignment="1">
      <alignment wrapText="1"/>
    </xf>
    <xf numFmtId="0" fontId="0" fillId="0" borderId="11" xfId="0" applyBorder="1"/>
    <xf numFmtId="0" fontId="0" fillId="0" borderId="13" xfId="0" applyBorder="1"/>
    <xf numFmtId="0" fontId="3" fillId="0" borderId="8" xfId="0" applyFont="1" applyBorder="1"/>
    <xf numFmtId="0" fontId="3" fillId="0" borderId="10" xfId="0" applyFont="1" applyBorder="1"/>
    <xf numFmtId="0" fontId="3" fillId="0" borderId="5" xfId="0" applyFont="1" applyBorder="1" applyAlignment="1">
      <alignment wrapText="1"/>
    </xf>
    <xf numFmtId="0" fontId="1" fillId="0" borderId="0" xfId="1"/>
    <xf numFmtId="0" fontId="3" fillId="0" borderId="1" xfId="0" applyFont="1" applyBorder="1"/>
    <xf numFmtId="0" fontId="0" fillId="0" borderId="1" xfId="0" applyBorder="1" applyAlignment="1">
      <alignment horizontal="right"/>
    </xf>
    <xf numFmtId="0" fontId="0" fillId="0" borderId="1" xfId="1" applyFont="1" applyBorder="1" applyAlignment="1">
      <alignment wrapText="1"/>
    </xf>
    <xf numFmtId="0" fontId="5" fillId="0" borderId="0" xfId="0" applyFont="1"/>
    <xf numFmtId="0" fontId="0" fillId="0" borderId="18" xfId="0" applyBorder="1" applyAlignment="1">
      <alignment wrapText="1"/>
    </xf>
    <xf numFmtId="0" fontId="3" fillId="0" borderId="19" xfId="0" applyFont="1" applyBorder="1"/>
    <xf numFmtId="0" fontId="0" fillId="0" borderId="19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6" xfId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9" xfId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7" xfId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3" fillId="4" borderId="12" xfId="0" applyFont="1" applyFill="1" applyBorder="1" applyAlignment="1">
      <alignment horizontal="center"/>
    </xf>
    <xf numFmtId="0" fontId="3" fillId="4" borderId="1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 wrapText="1"/>
    </xf>
    <xf numFmtId="0" fontId="3" fillId="7" borderId="17" xfId="0" applyFont="1" applyFill="1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54430</xdr:colOff>
      <xdr:row>52</xdr:row>
      <xdr:rowOff>174172</xdr:rowOff>
    </xdr:from>
    <xdr:to>
      <xdr:col>34</xdr:col>
      <xdr:colOff>428476</xdr:colOff>
      <xdr:row>80</xdr:row>
      <xdr:rowOff>83173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D11779-8DB0-CD14-B560-D4658EDDA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5630" y="9797143"/>
          <a:ext cx="7689246" cy="5090601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53</xdr:row>
      <xdr:rowOff>108858</xdr:rowOff>
    </xdr:from>
    <xdr:to>
      <xdr:col>19</xdr:col>
      <xdr:colOff>595146</xdr:colOff>
      <xdr:row>81</xdr:row>
      <xdr:rowOff>55962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58E371-FCB3-8A95-F36E-9291882BB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1" y="9916887"/>
          <a:ext cx="9053345" cy="5128704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11</xdr:row>
      <xdr:rowOff>130629</xdr:rowOff>
    </xdr:from>
    <xdr:to>
      <xdr:col>10</xdr:col>
      <xdr:colOff>54878</xdr:colOff>
      <xdr:row>33</xdr:row>
      <xdr:rowOff>6874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C6E59B-4F4B-50DB-21BE-FDA74C8A7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8829" y="2166258"/>
          <a:ext cx="5182049" cy="3947502"/>
        </a:xfrm>
        <a:prstGeom prst="rect">
          <a:avLst/>
        </a:prstGeom>
      </xdr:spPr>
    </xdr:pic>
    <xdr:clientData/>
  </xdr:twoCellAnchor>
  <xdr:twoCellAnchor editAs="oneCell">
    <xdr:from>
      <xdr:col>11</xdr:col>
      <xdr:colOff>43543</xdr:colOff>
      <xdr:row>10</xdr:row>
      <xdr:rowOff>16454</xdr:rowOff>
    </xdr:from>
    <xdr:to>
      <xdr:col>22</xdr:col>
      <xdr:colOff>416579</xdr:colOff>
      <xdr:row>36</xdr:row>
      <xdr:rowOff>1593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9CE478-EB7F-1F19-80B9-59A42C2A2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3" y="1867025"/>
          <a:ext cx="7078636" cy="4796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NbcJvGk72HY" TargetMode="External"/><Relationship Id="rId3" Type="http://schemas.openxmlformats.org/officeDocument/2006/relationships/hyperlink" Target="https://shopee.ph/Hobbywing-Skywalker-15A-20A-30A-40A-50A-60A-80A-ESC-for-RC-i.53025630.1165194150" TargetMode="External"/><Relationship Id="rId7" Type="http://schemas.openxmlformats.org/officeDocument/2006/relationships/hyperlink" Target="https://youtu.be/yiD5nCfmbV0" TargetMode="External"/><Relationship Id="rId12" Type="http://schemas.openxmlformats.org/officeDocument/2006/relationships/hyperlink" Target="https://www.youtube.com/watch?v=Wqr1b4mWDsE" TargetMode="External"/><Relationship Id="rId2" Type="http://schemas.openxmlformats.org/officeDocument/2006/relationships/hyperlink" Target="https://shopee.ph/-Univerlan-78pcs-Gearbox-toy-robot-motor-plastic-gear-DIY-model-accessories-HOT-SELL-i.179871873.15026360267" TargetMode="External"/><Relationship Id="rId1" Type="http://schemas.openxmlformats.org/officeDocument/2006/relationships/hyperlink" Target="https://www.youtube.com/watch?v=bCEiOnuODac" TargetMode="External"/><Relationship Id="rId6" Type="http://schemas.openxmlformats.org/officeDocument/2006/relationships/hyperlink" Target="https://youtu.be/yiD5nCfmbV0" TargetMode="External"/><Relationship Id="rId11" Type="http://schemas.openxmlformats.org/officeDocument/2006/relationships/hyperlink" Target="https://youtu.be/YYQayMrK4Fo?list=PLX-JqQpYfm1XB372KrjxN2yxgd2iYslIc" TargetMode="External"/><Relationship Id="rId5" Type="http://schemas.openxmlformats.org/officeDocument/2006/relationships/hyperlink" Target="https://www.youtube.com/watch?v=uOQk8SJso6Q" TargetMode="External"/><Relationship Id="rId10" Type="http://schemas.openxmlformats.org/officeDocument/2006/relationships/hyperlink" Target="https://e2e.ti.com/support/motor-drivers-group/motor-drivers/f/motor-drivers-forum/366017/back-emf-or-hall-sensor-which-would-be-the-best" TargetMode="External"/><Relationship Id="rId4" Type="http://schemas.openxmlformats.org/officeDocument/2006/relationships/hyperlink" Target="https://youtu.be/CWulQ1ZSE3c" TargetMode="External"/><Relationship Id="rId9" Type="http://schemas.openxmlformats.org/officeDocument/2006/relationships/hyperlink" Target="https://hobbyking.com/en_us/blog/reading-and-understanding-lipo-batteries/?___store=en_u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iodes.com/assets/Datasheets/AH49E.pdf" TargetMode="External"/><Relationship Id="rId7" Type="http://schemas.openxmlformats.org/officeDocument/2006/relationships/hyperlink" Target="https://www.monolithicpower.com/media/document/Brushless_DC_Motor_Fundamentals.pdf" TargetMode="External"/><Relationship Id="rId2" Type="http://schemas.openxmlformats.org/officeDocument/2006/relationships/hyperlink" Target="https://www.globalspec.com/pfdetail/motors/motor-winding-calculations" TargetMode="External"/><Relationship Id="rId1" Type="http://schemas.openxmlformats.org/officeDocument/2006/relationships/hyperlink" Target="https://www.quora.com/Increasing-the-number-of-coil-windings-on-an-electric-motor-does-not-always-increase-the-HP-of-the-motor-Therefore-what-does-the-number-of-windings-and-power-curve-look-like-for-an-electric-motor" TargetMode="External"/><Relationship Id="rId6" Type="http://schemas.openxmlformats.org/officeDocument/2006/relationships/hyperlink" Target="https://www.youtube.com/watch?v=Wqr1b4mWDsE" TargetMode="External"/><Relationship Id="rId5" Type="http://schemas.openxmlformats.org/officeDocument/2006/relationships/hyperlink" Target="https://www.youtube.com/watch?v=wB1mUEClcNk" TargetMode="External"/><Relationship Id="rId4" Type="http://schemas.openxmlformats.org/officeDocument/2006/relationships/hyperlink" Target="https://electronoobs.com/eng_arduino_tut82.php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ee.ph/10pcs-Alligator-Clips-Electrical-DIY-Test-Leads-Alligator-Double-ended-Crocodile-Clips-Test-i.8710520.18989319838" TargetMode="External"/><Relationship Id="rId3" Type="http://schemas.openxmlformats.org/officeDocument/2006/relationships/hyperlink" Target="https://shopee.ph/60m-10m-of-Magnet-Wire-Enameled-Copper-Wire-Winding-For-Making-Electromagnet-Motor-0.1mm-0.2mm-0.3mm-0.4mm-0.5mm-0.6mm-0.7mm-0.8mm-0.9mm-i.866205405.18246963879" TargetMode="External"/><Relationship Id="rId7" Type="http://schemas.openxmlformats.org/officeDocument/2006/relationships/hyperlink" Target="https://shopee.ph/Series-Battery-Holder-18650-with-Wire-1-Cell-2-Cell-3-Cell-1S-2S-3S-Single-Double-Triple-i.18252381.453473950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shopee.ph/Ndfeb-Strong-Magnetic-Iron-Steel-Round-Magnet-8X5mm-10mmX2mm-Square-i.695869163.22240112136?sp_atk=20cbdc45-1ba8-420e-a857-3fbb36ea8554&amp;xptdk=20cbdc45-1ba8-420e-a857-3fbb36ea8554" TargetMode="External"/><Relationship Id="rId1" Type="http://schemas.openxmlformats.org/officeDocument/2006/relationships/hyperlink" Target="https://shopee.ph/product/590733809/22314109546?d_id=a94de" TargetMode="External"/><Relationship Id="rId6" Type="http://schemas.openxmlformats.org/officeDocument/2006/relationships/hyperlink" Target="https://shopee.ph/PKCell-3.7V-Lithium-ion-NMC-18650-21700-Battery-for-Solar-Electric-Scooter-Mini-Fan-Power-Bank-i.18252381.1670629656" TargetMode="External"/><Relationship Id="rId11" Type="http://schemas.openxmlformats.org/officeDocument/2006/relationships/hyperlink" Target="https://shopee.ph/Logic-Level-Converter-%E2%80%93-Bi-Directional-i.18252381.255177311" TargetMode="External"/><Relationship Id="rId5" Type="http://schemas.openxmlformats.org/officeDocument/2006/relationships/hyperlink" Target="https://shopee.ph/5-PCS-B10k-Rotary-Knob-type-10k-Ohm-Precision-Potentiometer-i.18252381.13228237269" TargetMode="External"/><Relationship Id="rId10" Type="http://schemas.openxmlformats.org/officeDocument/2006/relationships/hyperlink" Target="https://shopee.ph/Ndfeb-Strong-Magnetic-Iron-Steel-Round-Magnet-8X5mm-10mmX2mm-Square-i.695869163.22240112136?sp_atk=20cbdc45-1ba8-420e-a857-3fbb36ea8554&amp;xptdk=20cbdc45-1ba8-420e-a857-3fbb36ea8554" TargetMode="External"/><Relationship Id="rId4" Type="http://schemas.openxmlformats.org/officeDocument/2006/relationships/hyperlink" Target="https://shopee.ph/Hobbywing-Skywalker-15A-20A-30A-40A-50A-60A-80A-ESC-for-RC-i.53025630.1165194150" TargetMode="External"/><Relationship Id="rId9" Type="http://schemas.openxmlformats.org/officeDocument/2006/relationships/hyperlink" Target="https://shopee.ph/10pcs-A3144-OH3144-OH137-49E-Hall-Effect-Sensor-Brushless-Electric-Motor-TO-92UA-A3144EUA-i.487295469.10441228144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ee.ph/-Univerlan-78pcs-Gearbox-toy-robot-motor-plastic-gear-DIY-model-accessories-HOT-SELL-i.179871873.15026360267" TargetMode="External"/><Relationship Id="rId2" Type="http://schemas.openxmlformats.org/officeDocument/2006/relationships/hyperlink" Target="https://shopee.ph/608-608Z-608ZZ-608RS-608-2RS-Bearing-i.27267468.13275078714" TargetMode="External"/><Relationship Id="rId1" Type="http://schemas.openxmlformats.org/officeDocument/2006/relationships/hyperlink" Target="https://shopee.ph/60m-10m-of-Magnet-Wire-Enameled-Copper-Wire-Winding-For-Making-Electromagnet-Motor-0.1mm-0.2mm-0.3mm-0.4mm-0.5mm-0.6mm-0.7mm-0.8mm-0.9mm-i.866205405.18246963879?sp_atk=ae06ff3a-610c-4cd3-855c-e95fd915dcec&amp;xptdk=ae06ff3a-610c-4cd3-855c-e95fd915dcec" TargetMode="External"/><Relationship Id="rId4" Type="http://schemas.openxmlformats.org/officeDocument/2006/relationships/hyperlink" Target="https://shopee.ph/Hobbywing-Skywalker-15A-20A-30A-40A-50A-60A-80A-ESC-for-RC-i.53025630.1165194150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ee.ph/1-Piece-20mm-x-20mm-x-3mm-(-20mm-L-x-20mm-W-x-3mm-H-)-Super-Strong-Neodymium-Rectangular-Bar-Magnet.-i.309964368.6183250145?sp_atk=24622d3e-1718-4baa-88d9-710afd4f766e&amp;xptdk=24622d3e-1718-4baa-88d9-710afd4f766e" TargetMode="External"/><Relationship Id="rId2" Type="http://schemas.openxmlformats.org/officeDocument/2006/relationships/hyperlink" Target="https://shopee.ph/STRONG-CERAMIC-FERRITE-RECTANGLE-MAGNET-and-ROUND-MAGNET-for-School-Project-and-DIY-Experiment.-i.309964368.21814181743?is_from_login=true" TargetMode="External"/><Relationship Id="rId1" Type="http://schemas.openxmlformats.org/officeDocument/2006/relationships/hyperlink" Target="https://shopee.ph/Ndfeb-Strong-Magnetic-Iron-Steel-Round-Magnet-8X5mm-10mmX2mm-Square-i.695869163.22240112136?sp_atk=20cbdc45-1ba8-420e-a857-3fbb36ea8554&amp;xptdk=20cbdc45-1ba8-420e-a857-3fbb36ea8554" TargetMode="External"/><Relationship Id="rId6" Type="http://schemas.openxmlformats.org/officeDocument/2006/relationships/hyperlink" Target="https://shopee.ph/product/590733809/22314109546?d_id=a94de" TargetMode="External"/><Relationship Id="rId5" Type="http://schemas.openxmlformats.org/officeDocument/2006/relationships/hyperlink" Target="https://shopee.ph/STRONG-CERAMIC-FERRITE-RECTANGLE-MAGNET-and-ROUND-MAGNET-for-School-Project-and-DIY-Experiment.-i.309964368.21814181743?is_from_login=true" TargetMode="External"/><Relationship Id="rId4" Type="http://schemas.openxmlformats.org/officeDocument/2006/relationships/hyperlink" Target="https://shopee.ph/STRONG-CERAMIC-FERRITE-RECTANGLE-MAGNET-and-ROUND-MAGNET-for-School-Project-and-DIY-Experiment.-i.309964368.21814181743?is_from_login=tr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3D857-947A-4A64-B2A3-955470D1FDE7}">
  <dimension ref="B2:K42"/>
  <sheetViews>
    <sheetView workbookViewId="0">
      <selection activeCell="D43" sqref="D43"/>
    </sheetView>
  </sheetViews>
  <sheetFormatPr defaultRowHeight="14.4" x14ac:dyDescent="0.3"/>
  <cols>
    <col min="1" max="1" width="8.88671875" customWidth="1"/>
    <col min="2" max="2" width="22.88671875" customWidth="1"/>
    <col min="3" max="3" width="14.109375" customWidth="1"/>
    <col min="4" max="4" width="34.77734375" customWidth="1"/>
  </cols>
  <sheetData>
    <row r="2" spans="2:9" x14ac:dyDescent="0.3">
      <c r="B2" t="s">
        <v>158</v>
      </c>
    </row>
    <row r="3" spans="2:9" ht="15" thickBot="1" x14ac:dyDescent="0.35"/>
    <row r="4" spans="2:9" ht="26.4" thickBot="1" x14ac:dyDescent="0.55000000000000004">
      <c r="B4" s="6" t="s">
        <v>2</v>
      </c>
      <c r="C4" s="48" t="s">
        <v>3</v>
      </c>
      <c r="D4" s="4" t="s">
        <v>29</v>
      </c>
      <c r="E4" s="49" t="s">
        <v>0</v>
      </c>
      <c r="F4" s="50"/>
      <c r="G4" s="50"/>
      <c r="H4" s="50"/>
      <c r="I4" s="51"/>
    </row>
    <row r="5" spans="2:9" ht="15" thickBot="1" x14ac:dyDescent="0.35">
      <c r="C5" s="48"/>
      <c r="D5" s="5" t="s">
        <v>34</v>
      </c>
      <c r="E5" s="52" t="s">
        <v>22</v>
      </c>
      <c r="F5" s="53"/>
      <c r="G5" s="53"/>
      <c r="H5" s="53"/>
      <c r="I5" s="54"/>
    </row>
    <row r="6" spans="2:9" ht="15" thickBot="1" x14ac:dyDescent="0.35">
      <c r="C6" s="48"/>
      <c r="D6" s="4" t="s">
        <v>28</v>
      </c>
      <c r="E6" s="49" t="s">
        <v>27</v>
      </c>
      <c r="F6" s="50"/>
      <c r="G6" s="50"/>
      <c r="H6" s="50"/>
      <c r="I6" s="51"/>
    </row>
    <row r="7" spans="2:9" ht="15" thickBot="1" x14ac:dyDescent="0.35">
      <c r="C7" s="48"/>
      <c r="D7" s="4" t="s">
        <v>30</v>
      </c>
      <c r="E7" s="49" t="s">
        <v>1</v>
      </c>
      <c r="F7" s="49"/>
      <c r="G7" s="49"/>
      <c r="H7" s="49"/>
      <c r="I7" s="55"/>
    </row>
    <row r="9" spans="2:9" x14ac:dyDescent="0.3">
      <c r="C9" s="46" t="s">
        <v>4</v>
      </c>
      <c r="D9" t="s">
        <v>26</v>
      </c>
      <c r="E9" s="37" t="s">
        <v>0</v>
      </c>
    </row>
    <row r="10" spans="2:9" x14ac:dyDescent="0.3">
      <c r="C10" s="47"/>
      <c r="D10" t="s">
        <v>25</v>
      </c>
      <c r="E10" s="37" t="s">
        <v>24</v>
      </c>
    </row>
    <row r="12" spans="2:9" x14ac:dyDescent="0.3">
      <c r="C12" s="45" t="s">
        <v>5</v>
      </c>
      <c r="E12" s="37" t="s">
        <v>6</v>
      </c>
    </row>
    <row r="13" spans="2:9" x14ac:dyDescent="0.3">
      <c r="C13" s="45"/>
      <c r="E13" s="37" t="s">
        <v>137</v>
      </c>
    </row>
    <row r="15" spans="2:9" ht="40.799999999999997" customHeight="1" x14ac:dyDescent="0.3">
      <c r="C15" s="3" t="s">
        <v>7</v>
      </c>
      <c r="E15" s="37" t="s">
        <v>8</v>
      </c>
    </row>
    <row r="18" spans="2:11" ht="36.6" customHeight="1" thickBot="1" x14ac:dyDescent="0.35"/>
    <row r="19" spans="2:11" ht="31.2" thickBot="1" x14ac:dyDescent="0.5">
      <c r="B19" s="41" t="s">
        <v>115</v>
      </c>
      <c r="C19" s="42" t="s">
        <v>116</v>
      </c>
      <c r="D19" s="4" t="s">
        <v>29</v>
      </c>
      <c r="E19" s="49" t="s">
        <v>117</v>
      </c>
      <c r="F19" s="50"/>
      <c r="G19" s="50"/>
      <c r="H19" s="50"/>
      <c r="I19" s="50"/>
      <c r="J19" s="50"/>
      <c r="K19" s="51"/>
    </row>
    <row r="25" spans="2:11" ht="25.8" x14ac:dyDescent="0.5">
      <c r="B25" s="6" t="s">
        <v>9</v>
      </c>
    </row>
    <row r="27" spans="2:11" x14ac:dyDescent="0.3">
      <c r="C27" s="45" t="s">
        <v>10</v>
      </c>
    </row>
    <row r="28" spans="2:11" x14ac:dyDescent="0.3">
      <c r="C28" s="45"/>
      <c r="E28" t="s">
        <v>113</v>
      </c>
    </row>
    <row r="29" spans="2:11" x14ac:dyDescent="0.3">
      <c r="C29" s="45"/>
      <c r="E29" t="s">
        <v>11</v>
      </c>
    </row>
    <row r="30" spans="2:11" x14ac:dyDescent="0.3">
      <c r="C30" s="45"/>
      <c r="E30" t="s">
        <v>21</v>
      </c>
    </row>
    <row r="31" spans="2:11" x14ac:dyDescent="0.3">
      <c r="C31" s="45"/>
      <c r="E31" t="s">
        <v>20</v>
      </c>
      <c r="J31" s="37" t="s">
        <v>19</v>
      </c>
    </row>
    <row r="32" spans="2:11" x14ac:dyDescent="0.3">
      <c r="C32" s="45"/>
      <c r="E32" t="s">
        <v>15</v>
      </c>
    </row>
    <row r="33" spans="3:10" x14ac:dyDescent="0.3">
      <c r="C33" s="45"/>
      <c r="E33" t="s">
        <v>12</v>
      </c>
    </row>
    <row r="34" spans="3:10" x14ac:dyDescent="0.3">
      <c r="C34" s="45"/>
      <c r="E34" t="s">
        <v>13</v>
      </c>
      <c r="J34" s="37" t="s">
        <v>23</v>
      </c>
    </row>
    <row r="35" spans="3:10" x14ac:dyDescent="0.3">
      <c r="C35" s="45"/>
      <c r="E35" t="s">
        <v>14</v>
      </c>
    </row>
    <row r="36" spans="3:10" x14ac:dyDescent="0.3">
      <c r="C36" s="45"/>
      <c r="E36" t="s">
        <v>35</v>
      </c>
    </row>
    <row r="38" spans="3:10" x14ac:dyDescent="0.3">
      <c r="C38" s="2" t="s">
        <v>16</v>
      </c>
    </row>
    <row r="39" spans="3:10" x14ac:dyDescent="0.3">
      <c r="C39" s="1" t="s">
        <v>18</v>
      </c>
      <c r="D39" t="s">
        <v>17</v>
      </c>
    </row>
    <row r="40" spans="3:10" x14ac:dyDescent="0.3">
      <c r="C40" s="1" t="s">
        <v>18</v>
      </c>
      <c r="D40" t="s">
        <v>31</v>
      </c>
    </row>
    <row r="41" spans="3:10" x14ac:dyDescent="0.3">
      <c r="C41" s="1" t="s">
        <v>18</v>
      </c>
      <c r="D41" t="s">
        <v>32</v>
      </c>
    </row>
    <row r="42" spans="3:10" x14ac:dyDescent="0.3">
      <c r="C42" s="1" t="s">
        <v>18</v>
      </c>
      <c r="D42" t="s">
        <v>33</v>
      </c>
    </row>
  </sheetData>
  <mergeCells count="9">
    <mergeCell ref="C27:C36"/>
    <mergeCell ref="C12:C13"/>
    <mergeCell ref="C9:C10"/>
    <mergeCell ref="C4:C7"/>
    <mergeCell ref="E4:I4"/>
    <mergeCell ref="E5:I5"/>
    <mergeCell ref="E6:I6"/>
    <mergeCell ref="E7:I7"/>
    <mergeCell ref="E19:K19"/>
  </mergeCells>
  <hyperlinks>
    <hyperlink ref="E7" r:id="rId1" xr:uid="{3E48C770-EAE1-452F-8FB4-BC563B4E1D3F}"/>
    <hyperlink ref="J34" r:id="rId2" xr:uid="{575FCEDD-73DC-4FC1-88F4-C09ADC5D2426}"/>
    <hyperlink ref="J31" r:id="rId3" xr:uid="{E63AAF86-C271-47E1-87CC-DBFE774B7269}"/>
    <hyperlink ref="E6" r:id="rId4" xr:uid="{9F43ED7E-D341-4A0D-8ABD-1C022AB180B5}"/>
    <hyperlink ref="E5" r:id="rId5" xr:uid="{1B54A2F6-4125-4CDF-948D-25B46E851B9A}"/>
    <hyperlink ref="E4" r:id="rId6" xr:uid="{00B071E8-A202-456F-B0B7-F8906BD1E6D5}"/>
    <hyperlink ref="E9" r:id="rId7" xr:uid="{74A1CDCC-2F3E-4F85-8BA6-8144A28A2D61}"/>
    <hyperlink ref="E10" r:id="rId8" xr:uid="{57FC4031-A295-4C34-B5BB-76416AD8BDD7}"/>
    <hyperlink ref="E12" r:id="rId9" xr:uid="{75D8BA65-7AD0-4719-9660-E354A16F3C2E}"/>
    <hyperlink ref="E15" r:id="rId10" xr:uid="{17FD8866-3235-435E-9006-DAED38E08963}"/>
    <hyperlink ref="E19" r:id="rId11" xr:uid="{587957E1-40B2-4A94-8B1E-7BD7069343CE}"/>
    <hyperlink ref="E13" r:id="rId12" xr:uid="{E72DBF15-9875-412D-9D8C-7A66F619673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F05EE-8DBB-4778-986E-BA0587C5A8CE}">
  <dimension ref="B4:C11"/>
  <sheetViews>
    <sheetView tabSelected="1" topLeftCell="A4" zoomScale="70" zoomScaleNormal="70" workbookViewId="0">
      <selection activeCell="AB14" sqref="AB14"/>
    </sheetView>
  </sheetViews>
  <sheetFormatPr defaultRowHeight="14.4" x14ac:dyDescent="0.3"/>
  <sheetData>
    <row r="4" spans="2:3" x14ac:dyDescent="0.3">
      <c r="B4">
        <v>1</v>
      </c>
      <c r="C4" t="s">
        <v>167</v>
      </c>
    </row>
    <row r="5" spans="2:3" x14ac:dyDescent="0.3">
      <c r="B5">
        <v>2</v>
      </c>
      <c r="C5" t="s">
        <v>168</v>
      </c>
    </row>
    <row r="6" spans="2:3" x14ac:dyDescent="0.3">
      <c r="C6" t="s">
        <v>169</v>
      </c>
    </row>
    <row r="8" spans="2:3" x14ac:dyDescent="0.3">
      <c r="C8" t="s">
        <v>170</v>
      </c>
    </row>
    <row r="11" spans="2:3" x14ac:dyDescent="0.3">
      <c r="C11" t="s">
        <v>171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3EC37-910C-43FB-ABC5-682BD73B1403}">
  <dimension ref="A4:D16"/>
  <sheetViews>
    <sheetView workbookViewId="0">
      <selection activeCell="B16" sqref="B16"/>
    </sheetView>
  </sheetViews>
  <sheetFormatPr defaultRowHeight="14.4" x14ac:dyDescent="0.3"/>
  <cols>
    <col min="1" max="1" width="8.109375" customWidth="1"/>
    <col min="2" max="2" width="16" customWidth="1"/>
    <col min="4" max="4" width="32.33203125" customWidth="1"/>
  </cols>
  <sheetData>
    <row r="4" spans="1:4" x14ac:dyDescent="0.3">
      <c r="B4" t="s">
        <v>159</v>
      </c>
    </row>
    <row r="9" spans="1:4" x14ac:dyDescent="0.3">
      <c r="A9" s="2" t="s">
        <v>145</v>
      </c>
      <c r="B9" s="2" t="s">
        <v>126</v>
      </c>
      <c r="C9" s="2" t="s">
        <v>44</v>
      </c>
      <c r="D9" s="2" t="s">
        <v>129</v>
      </c>
    </row>
    <row r="10" spans="1:4" x14ac:dyDescent="0.3">
      <c r="A10" s="2">
        <v>1</v>
      </c>
      <c r="B10" s="56" t="s">
        <v>127</v>
      </c>
      <c r="C10" s="12" t="s">
        <v>128</v>
      </c>
      <c r="D10" s="2" t="s">
        <v>146</v>
      </c>
    </row>
    <row r="11" spans="1:4" x14ac:dyDescent="0.3">
      <c r="A11" s="2">
        <v>1.1000000000000001</v>
      </c>
      <c r="B11" s="57"/>
      <c r="C11" s="12" t="s">
        <v>144</v>
      </c>
      <c r="D11" s="2" t="s">
        <v>147</v>
      </c>
    </row>
    <row r="12" spans="1:4" x14ac:dyDescent="0.3">
      <c r="A12" s="2">
        <v>2</v>
      </c>
      <c r="B12" s="56" t="s">
        <v>130</v>
      </c>
      <c r="C12" s="12" t="s">
        <v>132</v>
      </c>
      <c r="D12" s="2" t="s">
        <v>18</v>
      </c>
    </row>
    <row r="13" spans="1:4" x14ac:dyDescent="0.3">
      <c r="A13" s="2">
        <v>2.1</v>
      </c>
      <c r="B13" s="57"/>
      <c r="C13" s="12" t="s">
        <v>131</v>
      </c>
      <c r="D13" s="2" t="s">
        <v>133</v>
      </c>
    </row>
    <row r="14" spans="1:4" x14ac:dyDescent="0.3">
      <c r="A14" s="2">
        <v>3</v>
      </c>
      <c r="B14" s="56" t="s">
        <v>134</v>
      </c>
      <c r="C14" s="12" t="s">
        <v>135</v>
      </c>
      <c r="D14" s="2" t="s">
        <v>136</v>
      </c>
    </row>
    <row r="15" spans="1:4" x14ac:dyDescent="0.3">
      <c r="A15" s="2">
        <v>3.1</v>
      </c>
      <c r="B15" s="57"/>
      <c r="C15" s="12" t="s">
        <v>137</v>
      </c>
      <c r="D15" s="2" t="s">
        <v>136</v>
      </c>
    </row>
    <row r="16" spans="1:4" x14ac:dyDescent="0.3">
      <c r="A16" s="44">
        <v>4</v>
      </c>
      <c r="B16" t="s">
        <v>164</v>
      </c>
      <c r="C16" s="37" t="s">
        <v>162</v>
      </c>
      <c r="D16" s="44" t="s">
        <v>163</v>
      </c>
    </row>
  </sheetData>
  <mergeCells count="3">
    <mergeCell ref="B10:B11"/>
    <mergeCell ref="B12:B13"/>
    <mergeCell ref="B14:B15"/>
  </mergeCells>
  <hyperlinks>
    <hyperlink ref="C11" r:id="rId1" xr:uid="{9901E4ED-5E8F-48CC-89B9-3F506624C58D}"/>
    <hyperlink ref="C10" r:id="rId2" xr:uid="{1C90D308-8BDF-4324-8358-B3895635D1E7}"/>
    <hyperlink ref="C12" r:id="rId3" xr:uid="{7FF92000-990C-440C-AD88-A184181C85FB}"/>
    <hyperlink ref="C13" r:id="rId4" xr:uid="{82838CCE-44FE-4D70-90B2-AD6A77EF51ED}"/>
    <hyperlink ref="C14" r:id="rId5" xr:uid="{40EDC363-0C8E-4B5C-A177-F4C5254B280E}"/>
    <hyperlink ref="C15" r:id="rId6" xr:uid="{3B702C57-C53E-470D-952B-7B51DCF022BE}"/>
    <hyperlink ref="C16" r:id="rId7" xr:uid="{02E26761-472F-4897-B5F6-00BC99B6EFE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3588-76EC-44BD-8AE0-3352EC381993}">
  <dimension ref="A2:G27"/>
  <sheetViews>
    <sheetView workbookViewId="0">
      <selection activeCell="F19" sqref="F19"/>
    </sheetView>
  </sheetViews>
  <sheetFormatPr defaultRowHeight="14.4" x14ac:dyDescent="0.3"/>
  <cols>
    <col min="2" max="2" width="20.109375" customWidth="1"/>
    <col min="5" max="5" width="34.6640625" customWidth="1"/>
    <col min="6" max="6" width="14.88671875" customWidth="1"/>
    <col min="7" max="7" width="10.6640625" customWidth="1"/>
  </cols>
  <sheetData>
    <row r="2" spans="1:7" x14ac:dyDescent="0.3">
      <c r="A2" s="2" t="s">
        <v>36</v>
      </c>
      <c r="B2" s="2" t="s">
        <v>118</v>
      </c>
      <c r="C2" s="2" t="s">
        <v>119</v>
      </c>
      <c r="D2" s="2" t="s">
        <v>120</v>
      </c>
      <c r="E2" s="2" t="s">
        <v>161</v>
      </c>
      <c r="F2" s="2" t="s">
        <v>121</v>
      </c>
      <c r="G2" s="2" t="s">
        <v>148</v>
      </c>
    </row>
    <row r="3" spans="1:7" x14ac:dyDescent="0.3">
      <c r="A3">
        <v>1</v>
      </c>
      <c r="B3" t="s">
        <v>123</v>
      </c>
      <c r="C3">
        <v>4</v>
      </c>
      <c r="D3">
        <v>27</v>
      </c>
      <c r="E3">
        <v>148</v>
      </c>
      <c r="F3" s="2" t="s">
        <v>51</v>
      </c>
      <c r="G3" s="37" t="s">
        <v>50</v>
      </c>
    </row>
    <row r="4" spans="1:7" x14ac:dyDescent="0.3">
      <c r="A4" s="2">
        <v>2</v>
      </c>
      <c r="B4" s="2" t="s">
        <v>123</v>
      </c>
      <c r="C4" s="2">
        <v>4</v>
      </c>
      <c r="D4" s="2">
        <v>27</v>
      </c>
      <c r="E4" s="2">
        <v>148</v>
      </c>
      <c r="F4" s="2" t="s">
        <v>51</v>
      </c>
      <c r="G4" s="37" t="s">
        <v>50</v>
      </c>
    </row>
    <row r="5" spans="1:7" x14ac:dyDescent="0.3">
      <c r="A5" s="2">
        <v>3</v>
      </c>
      <c r="B5" s="2" t="s">
        <v>98</v>
      </c>
      <c r="C5" s="2">
        <v>1</v>
      </c>
      <c r="D5" s="2">
        <v>48</v>
      </c>
      <c r="E5" s="2">
        <f>D5+40</f>
        <v>88</v>
      </c>
      <c r="F5" s="2" t="s">
        <v>124</v>
      </c>
      <c r="G5" s="37" t="s">
        <v>151</v>
      </c>
    </row>
    <row r="6" spans="1:7" x14ac:dyDescent="0.3">
      <c r="A6" s="2">
        <v>4</v>
      </c>
      <c r="B6" s="2" t="s">
        <v>107</v>
      </c>
      <c r="C6" s="2">
        <v>1</v>
      </c>
      <c r="D6" s="2">
        <v>468</v>
      </c>
      <c r="E6" s="2">
        <f>D6+40</f>
        <v>508</v>
      </c>
      <c r="F6" s="2" t="s">
        <v>111</v>
      </c>
      <c r="G6" s="37" t="s">
        <v>19</v>
      </c>
    </row>
    <row r="7" spans="1:7" x14ac:dyDescent="0.3">
      <c r="A7" s="2">
        <v>5</v>
      </c>
      <c r="B7" s="2" t="s">
        <v>125</v>
      </c>
      <c r="C7" s="2">
        <v>1</v>
      </c>
      <c r="D7" s="2">
        <v>70</v>
      </c>
      <c r="E7" s="2">
        <f>D7+38</f>
        <v>108</v>
      </c>
      <c r="F7" s="2" t="s">
        <v>156</v>
      </c>
      <c r="G7" s="37" t="s">
        <v>155</v>
      </c>
    </row>
    <row r="8" spans="1:7" x14ac:dyDescent="0.3">
      <c r="A8" s="2">
        <v>6</v>
      </c>
      <c r="B8" s="2" t="s">
        <v>113</v>
      </c>
      <c r="C8" s="2">
        <v>1</v>
      </c>
      <c r="D8" s="2">
        <f>166+169+169</f>
        <v>504</v>
      </c>
      <c r="E8" s="46">
        <f>D8+D9+38</f>
        <v>610</v>
      </c>
      <c r="F8" s="2" t="s">
        <v>140</v>
      </c>
      <c r="G8" s="37" t="s">
        <v>150</v>
      </c>
    </row>
    <row r="9" spans="1:7" x14ac:dyDescent="0.3">
      <c r="A9" s="2">
        <v>7</v>
      </c>
      <c r="B9" s="2" t="s">
        <v>138</v>
      </c>
      <c r="C9" s="2">
        <v>1</v>
      </c>
      <c r="D9" s="2">
        <v>68</v>
      </c>
      <c r="E9" s="47"/>
      <c r="F9" s="2" t="s">
        <v>139</v>
      </c>
      <c r="G9" s="37" t="s">
        <v>154</v>
      </c>
    </row>
    <row r="10" spans="1:7" x14ac:dyDescent="0.3">
      <c r="A10" s="2">
        <v>8</v>
      </c>
      <c r="B10" s="2" t="s">
        <v>141</v>
      </c>
      <c r="C10" s="2">
        <v>1</v>
      </c>
      <c r="D10" s="2">
        <v>64</v>
      </c>
      <c r="E10" s="2">
        <f>D10+38</f>
        <v>102</v>
      </c>
      <c r="F10" s="2" t="s">
        <v>18</v>
      </c>
      <c r="G10" s="37" t="s">
        <v>152</v>
      </c>
    </row>
    <row r="11" spans="1:7" x14ac:dyDescent="0.3">
      <c r="A11" s="2">
        <v>9</v>
      </c>
      <c r="B11" s="2" t="s">
        <v>130</v>
      </c>
      <c r="C11" s="2">
        <v>1</v>
      </c>
      <c r="D11" s="2">
        <v>66</v>
      </c>
      <c r="E11" s="2">
        <f>D11+40</f>
        <v>106</v>
      </c>
      <c r="F11" s="2" t="s">
        <v>142</v>
      </c>
      <c r="G11" s="37" t="s">
        <v>153</v>
      </c>
    </row>
    <row r="12" spans="1:7" x14ac:dyDescent="0.3">
      <c r="A12" s="43">
        <v>10</v>
      </c>
      <c r="B12" s="43" t="s">
        <v>165</v>
      </c>
      <c r="C12" s="43">
        <v>1</v>
      </c>
      <c r="D12" s="27">
        <v>74</v>
      </c>
      <c r="E12" s="27">
        <f>D12+38</f>
        <v>112</v>
      </c>
      <c r="F12" s="43" t="s">
        <v>18</v>
      </c>
      <c r="G12" s="37" t="s">
        <v>166</v>
      </c>
    </row>
    <row r="19" spans="1:7" x14ac:dyDescent="0.3">
      <c r="D19" t="s">
        <v>143</v>
      </c>
      <c r="E19">
        <f>SUM(E3:E13)</f>
        <v>1930</v>
      </c>
    </row>
    <row r="26" spans="1:7" x14ac:dyDescent="0.3">
      <c r="A26" t="s">
        <v>160</v>
      </c>
    </row>
    <row r="27" spans="1:7" x14ac:dyDescent="0.3">
      <c r="A27" s="2">
        <v>1</v>
      </c>
      <c r="B27" s="2" t="s">
        <v>122</v>
      </c>
      <c r="C27" s="2">
        <v>1</v>
      </c>
      <c r="D27" s="2">
        <v>239</v>
      </c>
      <c r="E27" s="2">
        <v>269</v>
      </c>
      <c r="F27" s="2" t="s">
        <v>18</v>
      </c>
      <c r="G27" s="37" t="s">
        <v>48</v>
      </c>
    </row>
  </sheetData>
  <mergeCells count="1">
    <mergeCell ref="E8:E9"/>
  </mergeCells>
  <hyperlinks>
    <hyperlink ref="G27" r:id="rId1" xr:uid="{D2FC49C8-05CC-47ED-BCF6-9D96E9942701}"/>
    <hyperlink ref="G4" r:id="rId2" xr:uid="{35AFD705-ACBC-4A07-A26B-A8A59E6F3AAC}"/>
    <hyperlink ref="G5" r:id="rId3" xr:uid="{F4194F14-90F1-420A-BC35-0368152BA4D0}"/>
    <hyperlink ref="G6" r:id="rId4" xr:uid="{C86BDC45-B621-4FE8-A88D-B37E08B978E9}"/>
    <hyperlink ref="G7" r:id="rId5" xr:uid="{D3F08C4D-B68B-444B-A2A8-52191DB58905}"/>
    <hyperlink ref="G8" r:id="rId6" xr:uid="{2EAE62F6-EBB0-4478-9BAE-90BD73E253D2}"/>
    <hyperlink ref="G9" r:id="rId7" xr:uid="{151D7C36-72F1-4355-967B-26BCF2CC295D}"/>
    <hyperlink ref="G10" r:id="rId8" xr:uid="{934278AD-0999-4496-8F46-AFBCAE2410AA}"/>
    <hyperlink ref="G11" r:id="rId9" xr:uid="{984CBBDC-41E6-4C5E-9C39-2782D43B70E3}"/>
    <hyperlink ref="G3" r:id="rId10" xr:uid="{A49B1D15-C43A-467C-BE2E-08C1EA8FC185}"/>
    <hyperlink ref="G12" r:id="rId11" xr:uid="{0424707F-368D-44F3-AAC7-6208FE5A93E3}"/>
  </hyperlinks>
  <pageMargins left="0.7" right="0.7" top="0.75" bottom="0.75" header="0.3" footer="0.3"/>
  <pageSetup orientation="portrait"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62244-2321-4040-8FBF-AD0CA3B741BA}">
  <dimension ref="B2:E15"/>
  <sheetViews>
    <sheetView workbookViewId="0">
      <selection activeCell="B3" sqref="B3"/>
    </sheetView>
  </sheetViews>
  <sheetFormatPr defaultRowHeight="14.4" x14ac:dyDescent="0.3"/>
  <cols>
    <col min="2" max="2" width="14.5546875" customWidth="1"/>
    <col min="3" max="3" width="27.6640625" customWidth="1"/>
    <col min="4" max="4" width="8.44140625" customWidth="1"/>
    <col min="5" max="5" width="22.77734375" customWidth="1"/>
  </cols>
  <sheetData>
    <row r="2" spans="2:5" x14ac:dyDescent="0.3">
      <c r="B2" t="s">
        <v>157</v>
      </c>
    </row>
    <row r="3" spans="2:5" x14ac:dyDescent="0.3">
      <c r="B3" s="38" t="s">
        <v>94</v>
      </c>
      <c r="C3" s="38" t="s">
        <v>95</v>
      </c>
      <c r="D3" s="38" t="s">
        <v>96</v>
      </c>
      <c r="E3" s="38" t="s">
        <v>97</v>
      </c>
    </row>
    <row r="4" spans="2:5" ht="33.6" customHeight="1" x14ac:dyDescent="0.3">
      <c r="B4" s="2" t="s">
        <v>98</v>
      </c>
      <c r="C4" s="2" t="s">
        <v>108</v>
      </c>
      <c r="D4" s="39" t="s">
        <v>99</v>
      </c>
      <c r="E4" s="11" t="s">
        <v>100</v>
      </c>
    </row>
    <row r="5" spans="2:5" ht="29.4" customHeight="1" x14ac:dyDescent="0.3">
      <c r="B5" s="2" t="s">
        <v>11</v>
      </c>
      <c r="C5" s="2" t="s">
        <v>102</v>
      </c>
      <c r="D5" s="2" t="s">
        <v>102</v>
      </c>
      <c r="E5" s="40" t="s">
        <v>112</v>
      </c>
    </row>
    <row r="6" spans="2:5" ht="18" customHeight="1" x14ac:dyDescent="0.3">
      <c r="B6" s="2" t="s">
        <v>101</v>
      </c>
      <c r="C6" s="2" t="s">
        <v>102</v>
      </c>
      <c r="D6" s="2" t="s">
        <v>102</v>
      </c>
      <c r="E6" s="29" t="s">
        <v>102</v>
      </c>
    </row>
    <row r="7" spans="2:5" ht="28.8" customHeight="1" x14ac:dyDescent="0.3">
      <c r="B7" s="2" t="s">
        <v>103</v>
      </c>
      <c r="C7" s="2" t="s">
        <v>102</v>
      </c>
      <c r="D7" s="2" t="s">
        <v>102</v>
      </c>
      <c r="E7" s="29" t="s">
        <v>102</v>
      </c>
    </row>
    <row r="8" spans="2:5" ht="18" customHeight="1" x14ac:dyDescent="0.3">
      <c r="B8" s="2" t="s">
        <v>106</v>
      </c>
      <c r="C8" s="2" t="s">
        <v>110</v>
      </c>
      <c r="D8" s="2" t="s">
        <v>18</v>
      </c>
      <c r="E8" s="29" t="s">
        <v>18</v>
      </c>
    </row>
    <row r="9" spans="2:5" ht="12.6" customHeight="1" x14ac:dyDescent="0.3">
      <c r="B9" s="2" t="s">
        <v>107</v>
      </c>
      <c r="C9" s="2" t="s">
        <v>111</v>
      </c>
      <c r="D9" s="2"/>
      <c r="E9" s="11" t="s">
        <v>19</v>
      </c>
    </row>
    <row r="10" spans="2:5" ht="12.6" customHeight="1" x14ac:dyDescent="0.3">
      <c r="B10" s="2" t="s">
        <v>12</v>
      </c>
      <c r="C10" s="2" t="s">
        <v>102</v>
      </c>
      <c r="D10" s="2" t="s">
        <v>102</v>
      </c>
      <c r="E10" s="29" t="s">
        <v>102</v>
      </c>
    </row>
    <row r="11" spans="2:5" ht="12.6" customHeight="1" x14ac:dyDescent="0.3">
      <c r="B11" s="2" t="s">
        <v>109</v>
      </c>
      <c r="C11" s="2"/>
      <c r="D11" s="2"/>
      <c r="E11" s="11" t="s">
        <v>23</v>
      </c>
    </row>
    <row r="12" spans="2:5" ht="12.6" customHeight="1" x14ac:dyDescent="0.3">
      <c r="B12" s="2" t="s">
        <v>113</v>
      </c>
      <c r="C12" s="2" t="s">
        <v>149</v>
      </c>
      <c r="D12" s="2">
        <v>1</v>
      </c>
      <c r="E12" s="2"/>
    </row>
    <row r="13" spans="2:5" ht="12.6" customHeight="1" x14ac:dyDescent="0.3">
      <c r="B13" s="2" t="s">
        <v>14</v>
      </c>
      <c r="C13" s="2" t="s">
        <v>102</v>
      </c>
      <c r="D13" s="2" t="s">
        <v>102</v>
      </c>
      <c r="E13" s="11" t="s">
        <v>114</v>
      </c>
    </row>
    <row r="14" spans="2:5" x14ac:dyDescent="0.3">
      <c r="B14" s="2" t="s">
        <v>104</v>
      </c>
      <c r="C14" s="2" t="s">
        <v>102</v>
      </c>
      <c r="D14" s="2" t="s">
        <v>102</v>
      </c>
      <c r="E14" s="29" t="s">
        <v>102</v>
      </c>
    </row>
    <row r="15" spans="2:5" x14ac:dyDescent="0.3">
      <c r="B15" s="2" t="s">
        <v>105</v>
      </c>
      <c r="C15" s="2" t="s">
        <v>102</v>
      </c>
      <c r="D15" s="2" t="s">
        <v>102</v>
      </c>
      <c r="E15" s="29" t="s">
        <v>102</v>
      </c>
    </row>
  </sheetData>
  <hyperlinks>
    <hyperlink ref="E4" r:id="rId1" display="https://shopee.ph/60m-10m-of-Magnet-Wire-Enameled-Copper-Wire-Winding-For-Making-Electromagnet-Motor-0.1mm-0.2mm-0.3mm-0.4mm-0.5mm-0.6mm-0.7mm-0.8mm-0.9mm-i.866205405.18246963879?sp_atk=ae06ff3a-610c-4cd3-855c-e95fd915dcec&amp;xptdk=ae06ff3a-610c-4cd3-855c-e95fd915dcec" xr:uid="{3FEF628A-E8E5-4E6D-B96D-692C93B4E394}"/>
    <hyperlink ref="E13" r:id="rId2" xr:uid="{7146C9D2-A939-45FC-8BA0-C01D9A482EB1}"/>
    <hyperlink ref="E11" r:id="rId3" xr:uid="{9DE474CE-FA2E-4277-886A-BA4D928FC645}"/>
    <hyperlink ref="E9" r:id="rId4" xr:uid="{A735A309-217D-4122-AF07-24BDDB44A5C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7951F-4090-4031-B4D9-7E54778FB332}">
  <dimension ref="E1:P35"/>
  <sheetViews>
    <sheetView workbookViewId="0">
      <selection activeCell="M6" sqref="M6"/>
    </sheetView>
  </sheetViews>
  <sheetFormatPr defaultRowHeight="14.4" x14ac:dyDescent="0.3"/>
  <cols>
    <col min="6" max="6" width="18.21875" customWidth="1"/>
    <col min="7" max="7" width="12.88671875" customWidth="1"/>
    <col min="8" max="8" width="14.5546875" customWidth="1"/>
    <col min="10" max="10" width="20.6640625" customWidth="1"/>
    <col min="13" max="13" width="10.6640625" customWidth="1"/>
    <col min="14" max="14" width="17.44140625" customWidth="1"/>
    <col min="15" max="15" width="12.33203125" customWidth="1"/>
    <col min="16" max="16" width="20.33203125" customWidth="1"/>
  </cols>
  <sheetData>
    <row r="1" spans="5:16" x14ac:dyDescent="0.3">
      <c r="E1" s="58" t="s">
        <v>93</v>
      </c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</row>
    <row r="2" spans="5:16" ht="43.2" customHeight="1" x14ac:dyDescent="0.3">
      <c r="E2" s="2" t="s">
        <v>36</v>
      </c>
      <c r="F2" s="7" t="s">
        <v>37</v>
      </c>
      <c r="G2" s="7" t="s">
        <v>38</v>
      </c>
      <c r="H2" s="8" t="s">
        <v>39</v>
      </c>
      <c r="I2" s="8" t="s">
        <v>40</v>
      </c>
      <c r="J2" s="8" t="s">
        <v>41</v>
      </c>
      <c r="K2" s="8" t="s">
        <v>42</v>
      </c>
      <c r="L2" s="8" t="s">
        <v>43</v>
      </c>
      <c r="M2" s="2" t="s">
        <v>44</v>
      </c>
      <c r="N2" s="7" t="s">
        <v>45</v>
      </c>
      <c r="O2" s="7" t="s">
        <v>46</v>
      </c>
      <c r="P2" s="8" t="s">
        <v>47</v>
      </c>
    </row>
    <row r="3" spans="5:16" ht="17.399999999999999" customHeight="1" x14ac:dyDescent="0.3">
      <c r="E3" s="9">
        <v>1</v>
      </c>
      <c r="F3" s="2">
        <f t="shared" ref="F3:F8" si="0">G3*(J3*I3)</f>
        <v>2400</v>
      </c>
      <c r="G3" s="2">
        <f>8*3*2</f>
        <v>48</v>
      </c>
      <c r="H3" s="10">
        <f>3*2*I3</f>
        <v>300</v>
      </c>
      <c r="I3" s="10">
        <v>50</v>
      </c>
      <c r="J3" s="10">
        <f t="shared" ref="J3:J8" si="1">IF(I3 &lt;8, 8/I3, IF(ROUND(($T$15)/(H3/10),0.1)=0,1,ROUND(($T$15)/(H3/10),0.1)))</f>
        <v>1</v>
      </c>
      <c r="K3" s="10">
        <v>239</v>
      </c>
      <c r="L3" s="10">
        <f>J3*K3</f>
        <v>239</v>
      </c>
      <c r="M3" s="11" t="s">
        <v>48</v>
      </c>
      <c r="N3" s="2" t="s">
        <v>18</v>
      </c>
      <c r="O3" s="2" t="s">
        <v>49</v>
      </c>
      <c r="P3" s="10" t="s">
        <v>91</v>
      </c>
    </row>
    <row r="4" spans="5:16" ht="17.399999999999999" customHeight="1" x14ac:dyDescent="0.3">
      <c r="E4" s="9">
        <v>2</v>
      </c>
      <c r="F4" s="2">
        <f t="shared" si="0"/>
        <v>3200</v>
      </c>
      <c r="G4" s="2">
        <f>20*2*10</f>
        <v>400</v>
      </c>
      <c r="H4" s="10">
        <f>20*10*I4</f>
        <v>200</v>
      </c>
      <c r="I4" s="10">
        <v>1</v>
      </c>
      <c r="J4" s="10">
        <f t="shared" si="1"/>
        <v>8</v>
      </c>
      <c r="K4" s="10">
        <v>27</v>
      </c>
      <c r="L4" s="10">
        <f>J4*K4</f>
        <v>216</v>
      </c>
      <c r="M4" s="11" t="s">
        <v>50</v>
      </c>
      <c r="N4" s="2" t="s">
        <v>51</v>
      </c>
      <c r="O4" s="2" t="s">
        <v>49</v>
      </c>
      <c r="P4" s="10" t="s">
        <v>91</v>
      </c>
    </row>
    <row r="5" spans="5:16" x14ac:dyDescent="0.3">
      <c r="E5" s="2">
        <v>3</v>
      </c>
      <c r="F5" s="2">
        <f t="shared" si="0"/>
        <v>163.87063999999998</v>
      </c>
      <c r="G5" s="2">
        <f>(2.54*(2.54/2)*(2.54/4))*10</f>
        <v>20.483829999999998</v>
      </c>
      <c r="H5" s="10">
        <f>25.4*(25.4/2)*I5</f>
        <v>645.16</v>
      </c>
      <c r="I5" s="10">
        <v>2</v>
      </c>
      <c r="J5" s="10">
        <f t="shared" si="1"/>
        <v>4</v>
      </c>
      <c r="K5" s="10">
        <v>55</v>
      </c>
      <c r="L5" s="10">
        <f>J5*K5</f>
        <v>220</v>
      </c>
      <c r="M5" s="12" t="s">
        <v>52</v>
      </c>
      <c r="N5" s="2" t="s">
        <v>53</v>
      </c>
      <c r="O5" s="2" t="s">
        <v>54</v>
      </c>
      <c r="P5" s="10" t="s">
        <v>91</v>
      </c>
    </row>
    <row r="6" spans="5:16" x14ac:dyDescent="0.3">
      <c r="E6" s="9">
        <v>4</v>
      </c>
      <c r="F6" s="2">
        <f t="shared" si="0"/>
        <v>21205.750411731104</v>
      </c>
      <c r="G6" s="2">
        <f>(PI()*(15*15))*3</f>
        <v>2120.5750411731105</v>
      </c>
      <c r="H6" s="10">
        <f>I6*(PI()*15*15)</f>
        <v>7068.5834705770339</v>
      </c>
      <c r="I6" s="10">
        <v>10</v>
      </c>
      <c r="J6" s="10">
        <f t="shared" si="1"/>
        <v>1</v>
      </c>
      <c r="K6" s="10">
        <v>110</v>
      </c>
      <c r="L6" s="10">
        <f>J6*K6</f>
        <v>110</v>
      </c>
      <c r="M6" s="12" t="s">
        <v>52</v>
      </c>
      <c r="N6" s="2" t="s">
        <v>55</v>
      </c>
      <c r="O6" s="2" t="s">
        <v>54</v>
      </c>
      <c r="P6" s="10" t="s">
        <v>92</v>
      </c>
    </row>
    <row r="7" spans="5:16" x14ac:dyDescent="0.3">
      <c r="E7" s="2">
        <v>5</v>
      </c>
      <c r="F7" s="2">
        <f t="shared" si="0"/>
        <v>51200</v>
      </c>
      <c r="G7" s="2">
        <f>40*20*8</f>
        <v>6400</v>
      </c>
      <c r="H7" s="10">
        <f>40*20*I7</f>
        <v>800</v>
      </c>
      <c r="I7" s="10">
        <v>1</v>
      </c>
      <c r="J7" s="10">
        <f t="shared" si="1"/>
        <v>8</v>
      </c>
      <c r="K7" s="10">
        <v>45</v>
      </c>
      <c r="L7" s="10">
        <f t="shared" ref="L7:L8" si="2">J7*K7</f>
        <v>360</v>
      </c>
      <c r="M7" s="12" t="s">
        <v>52</v>
      </c>
      <c r="N7" s="2" t="s">
        <v>56</v>
      </c>
      <c r="O7" s="2" t="s">
        <v>54</v>
      </c>
      <c r="P7" s="10" t="s">
        <v>91</v>
      </c>
    </row>
    <row r="8" spans="5:16" x14ac:dyDescent="0.3">
      <c r="E8" s="9">
        <v>6</v>
      </c>
      <c r="F8" s="2">
        <f t="shared" si="0"/>
        <v>9600</v>
      </c>
      <c r="G8" s="2">
        <f>20*20*3</f>
        <v>1200</v>
      </c>
      <c r="H8" s="10">
        <f>20*20*I8</f>
        <v>400</v>
      </c>
      <c r="I8" s="10">
        <v>1</v>
      </c>
      <c r="J8" s="10">
        <f t="shared" si="1"/>
        <v>8</v>
      </c>
      <c r="K8" s="10">
        <v>69</v>
      </c>
      <c r="L8" s="10">
        <f t="shared" si="2"/>
        <v>552</v>
      </c>
      <c r="M8" s="12" t="s">
        <v>57</v>
      </c>
      <c r="N8" s="2" t="s">
        <v>18</v>
      </c>
      <c r="O8" s="2" t="s">
        <v>49</v>
      </c>
      <c r="P8" s="10" t="s">
        <v>91</v>
      </c>
    </row>
    <row r="10" spans="5:16" ht="15" thickBot="1" x14ac:dyDescent="0.35"/>
    <row r="11" spans="5:16" ht="15" thickBot="1" x14ac:dyDescent="0.35">
      <c r="E11" t="s">
        <v>58</v>
      </c>
      <c r="F11" t="s">
        <v>59</v>
      </c>
      <c r="L11" s="59" t="s">
        <v>60</v>
      </c>
      <c r="M11" s="60"/>
      <c r="N11" s="60"/>
      <c r="O11" s="60"/>
      <c r="P11" s="61"/>
    </row>
    <row r="12" spans="5:16" ht="15" thickBot="1" x14ac:dyDescent="0.35">
      <c r="E12" s="13"/>
      <c r="F12" s="14">
        <f>3*2</f>
        <v>6</v>
      </c>
      <c r="G12" s="15" t="s">
        <v>61</v>
      </c>
      <c r="L12" s="16"/>
      <c r="M12" s="17" t="s">
        <v>62</v>
      </c>
      <c r="N12" s="18" t="s">
        <v>63</v>
      </c>
      <c r="P12" s="19"/>
    </row>
    <row r="13" spans="5:16" ht="15" thickBot="1" x14ac:dyDescent="0.35">
      <c r="L13" s="16"/>
      <c r="M13" s="20" t="s">
        <v>64</v>
      </c>
      <c r="N13" s="21" t="s">
        <v>65</v>
      </c>
      <c r="O13" s="22" t="s">
        <v>66</v>
      </c>
      <c r="P13" s="23">
        <v>64</v>
      </c>
    </row>
    <row r="14" spans="5:16" ht="15" thickBot="1" x14ac:dyDescent="0.35">
      <c r="F14" t="s">
        <v>67</v>
      </c>
      <c r="L14" s="24" t="s">
        <v>68</v>
      </c>
      <c r="M14" s="25">
        <v>8</v>
      </c>
      <c r="N14" s="26" t="s">
        <v>69</v>
      </c>
      <c r="O14" s="22"/>
      <c r="P14" s="26" t="s">
        <v>70</v>
      </c>
    </row>
    <row r="15" spans="5:16" ht="15" thickBot="1" x14ac:dyDescent="0.35">
      <c r="F15" s="14">
        <f>6*50</f>
        <v>300</v>
      </c>
      <c r="G15" s="15" t="s">
        <v>71</v>
      </c>
      <c r="H15" s="27" t="s">
        <v>72</v>
      </c>
    </row>
    <row r="16" spans="5:16" x14ac:dyDescent="0.3">
      <c r="L16" s="62" t="s">
        <v>73</v>
      </c>
      <c r="M16" s="63"/>
    </row>
    <row r="17" spans="5:13" ht="43.2" x14ac:dyDescent="0.3">
      <c r="L17" s="28" t="s">
        <v>74</v>
      </c>
      <c r="M17" s="29" t="s">
        <v>75</v>
      </c>
    </row>
    <row r="18" spans="5:13" ht="28.8" x14ac:dyDescent="0.3">
      <c r="L18" s="30" t="s">
        <v>76</v>
      </c>
      <c r="M18" s="64" t="s">
        <v>77</v>
      </c>
    </row>
    <row r="19" spans="5:13" x14ac:dyDescent="0.3">
      <c r="L19" s="31" t="s">
        <v>78</v>
      </c>
      <c r="M19" s="64"/>
    </row>
    <row r="20" spans="5:13" x14ac:dyDescent="0.3">
      <c r="E20" t="s">
        <v>79</v>
      </c>
      <c r="F20" t="s">
        <v>80</v>
      </c>
    </row>
    <row r="21" spans="5:13" ht="15" thickBot="1" x14ac:dyDescent="0.35">
      <c r="F21">
        <f xml:space="preserve"> G6/10</f>
        <v>212.05750411731105</v>
      </c>
      <c r="G21" t="s">
        <v>81</v>
      </c>
      <c r="H21" t="s">
        <v>82</v>
      </c>
    </row>
    <row r="22" spans="5:13" ht="15" thickBot="1" x14ac:dyDescent="0.35">
      <c r="F22" s="14">
        <f>F21/3</f>
        <v>70.685834705770347</v>
      </c>
      <c r="G22" s="15" t="s">
        <v>83</v>
      </c>
      <c r="H22" t="s">
        <v>72</v>
      </c>
      <c r="I22" t="s">
        <v>84</v>
      </c>
    </row>
    <row r="24" spans="5:13" ht="15" thickBot="1" x14ac:dyDescent="0.35">
      <c r="F24" t="s">
        <v>85</v>
      </c>
    </row>
    <row r="25" spans="5:13" ht="15" thickBot="1" x14ac:dyDescent="0.35">
      <c r="F25" s="14">
        <f>F22*10</f>
        <v>706.85834705770344</v>
      </c>
      <c r="G25" s="15" t="s">
        <v>71</v>
      </c>
      <c r="H25" s="27" t="s">
        <v>72</v>
      </c>
    </row>
    <row r="28" spans="5:13" ht="15" thickBot="1" x14ac:dyDescent="0.35"/>
    <row r="29" spans="5:13" x14ac:dyDescent="0.3">
      <c r="E29" t="s">
        <v>86</v>
      </c>
      <c r="F29" s="32" t="s">
        <v>80</v>
      </c>
      <c r="G29" s="33"/>
    </row>
    <row r="30" spans="5:13" ht="15" thickBot="1" x14ac:dyDescent="0.35">
      <c r="F30" s="34">
        <f>20*20</f>
        <v>400</v>
      </c>
      <c r="G30" s="35" t="s">
        <v>83</v>
      </c>
    </row>
    <row r="32" spans="5:13" ht="15" thickBot="1" x14ac:dyDescent="0.35">
      <c r="F32" t="s">
        <v>87</v>
      </c>
    </row>
    <row r="33" spans="6:8" ht="15" thickBot="1" x14ac:dyDescent="0.35">
      <c r="F33" s="36" t="s">
        <v>88</v>
      </c>
      <c r="G33" s="15">
        <f>20*20</f>
        <v>400</v>
      </c>
      <c r="H33" t="s">
        <v>72</v>
      </c>
    </row>
    <row r="34" spans="6:8" x14ac:dyDescent="0.3">
      <c r="F34" t="s">
        <v>89</v>
      </c>
      <c r="G34">
        <v>3</v>
      </c>
    </row>
    <row r="35" spans="6:8" x14ac:dyDescent="0.3">
      <c r="F35" t="s">
        <v>90</v>
      </c>
      <c r="G35">
        <f>G33*G34</f>
        <v>1200</v>
      </c>
    </row>
  </sheetData>
  <mergeCells count="4">
    <mergeCell ref="E1:P1"/>
    <mergeCell ref="L11:P11"/>
    <mergeCell ref="L16:M16"/>
    <mergeCell ref="M18:M19"/>
  </mergeCells>
  <hyperlinks>
    <hyperlink ref="M4" r:id="rId1" xr:uid="{449FA6BA-7CA8-4B10-A757-20B0AF1175ED}"/>
    <hyperlink ref="M5" r:id="rId2" xr:uid="{A15B4177-5F4F-428E-9658-4F634386EB6B}"/>
    <hyperlink ref="M8" r:id="rId3" xr:uid="{A467BA80-57AE-45A6-AC1E-2A4E4C721796}"/>
    <hyperlink ref="M7" r:id="rId4" xr:uid="{B1326B08-7E19-4A5F-9663-CEAD981273CA}"/>
    <hyperlink ref="M6" r:id="rId5" xr:uid="{45844F57-2C97-4130-A785-5686CCABC0DC}"/>
    <hyperlink ref="M3" r:id="rId6" xr:uid="{C005105F-3149-4D82-A19B-CFBF7671EBB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General guidelines</vt:lpstr>
      <vt:lpstr>DOCUMENTS RELATED INFO</vt:lpstr>
      <vt:lpstr>Expenses</vt:lpstr>
      <vt:lpstr>Materials</vt:lpstr>
      <vt:lpstr>Materials - Magnet Selection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JR Guarino</dc:creator>
  <cp:lastModifiedBy>Jessie JR Guarino</cp:lastModifiedBy>
  <dcterms:created xsi:type="dcterms:W3CDTF">2023-09-28T10:15:51Z</dcterms:created>
  <dcterms:modified xsi:type="dcterms:W3CDTF">2023-10-06T05:35:40Z</dcterms:modified>
</cp:coreProperties>
</file>