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427447A2-645A-4A56-838D-BAF6D00E9A48}" xr6:coauthVersionLast="47" xr6:coauthVersionMax="47" xr10:uidLastSave="{00000000-0000-0000-0000-000000000000}"/>
  <bookViews>
    <workbookView xWindow="-108" yWindow="-108" windowWidth="23256" windowHeight="12456" xr2:uid="{43969D58-BB31-47A6-900F-0CFEDA7ECAD4}"/>
  </bookViews>
  <sheets>
    <sheet name="General guidelines" sheetId="6" r:id="rId1"/>
    <sheet name="Current Safety Calculation" sheetId="7" r:id="rId2"/>
    <sheet name="DOCUMENTS RELATED INFO" sheetId="5" r:id="rId3"/>
    <sheet name="Expenses" sheetId="4" r:id="rId4"/>
    <sheet name="Materials" sheetId="3" r:id="rId5"/>
    <sheet name="Materials - Magnet Selection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7" l="1"/>
  <c r="O8" i="7"/>
  <c r="O7" i="7"/>
  <c r="O6" i="7"/>
  <c r="B6" i="7"/>
  <c r="O5" i="7"/>
  <c r="O4" i="7"/>
  <c r="N4" i="7"/>
  <c r="J4" i="7"/>
  <c r="B4" i="7"/>
  <c r="B2" i="7" s="1"/>
  <c r="C2" i="7" s="1"/>
  <c r="B12" i="7" s="1"/>
  <c r="E12" i="4"/>
  <c r="E19" i="4"/>
  <c r="E5" i="4"/>
  <c r="E7" i="4"/>
  <c r="E10" i="4"/>
  <c r="E11" i="4"/>
  <c r="E6" i="4"/>
  <c r="D8" i="4"/>
  <c r="E8" i="4"/>
  <c r="G3" i="2"/>
  <c r="G4" i="2"/>
  <c r="G33" i="2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F4" i="2"/>
  <c r="J3" i="2"/>
  <c r="L3" i="2" s="1"/>
  <c r="H3" i="2"/>
  <c r="F3" i="2"/>
  <c r="L6" i="2" l="1"/>
  <c r="F6" i="2"/>
  <c r="L7" i="2"/>
</calcChain>
</file>

<file path=xl/sharedStrings.xml><?xml version="1.0" encoding="utf-8"?>
<sst xmlns="http://schemas.openxmlformats.org/spreadsheetml/2006/main" count="319" uniqueCount="225">
  <si>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</si>
  <si>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</si>
  <si>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</si>
  <si>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</si>
  <si>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</si>
  <si>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</si>
  <si>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</si>
  <si>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</si>
  <si>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</si>
  <si>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</si>
  <si>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</si>
  <si>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</si>
  <si>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</si>
  <si>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</si>
  <si>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</si>
  <si>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</si>
  <si>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</si>
  <si>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</si>
  <si>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</si>
  <si>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</si>
  <si>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</si>
  <si>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</si>
  <si>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</si>
  <si>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</si>
  <si>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</si>
  <si>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</si>
  <si>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</si>
  <si>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</si>
  <si>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</si>
  <si>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</si>
  <si>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</si>
  <si>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</si>
  <si>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</si>
  <si>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</si>
  <si>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</si>
  <si>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</si>
  <si>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</si>
  <si>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</si>
  <si>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</si>
  <si>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</si>
  <si>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</si>
  <si>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</si>
  <si>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</si>
  <si>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</si>
  <si>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</si>
  <si>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</si>
  <si>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</si>
  <si>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</si>
  <si>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</si>
  <si>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</si>
  <si>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</si>
  <si>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</si>
  <si>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</si>
  <si>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</si>
  <si>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</si>
  <si>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</si>
  <si>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</si>
  <si>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</si>
  <si>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</si>
  <si>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</si>
  <si>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</si>
  <si>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</si>
  <si>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</si>
  <si>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</si>
  <si>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</si>
  <si>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</si>
  <si>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</si>
  <si>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</si>
  <si>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</si>
  <si>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</si>
  <si>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</si>
  <si>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</si>
  <si>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</si>
  <si>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</si>
  <si>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</si>
  <si>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</si>
  <si>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</si>
  <si>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</si>
  <si>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</si>
  <si>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</si>
  <si>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</si>
  <si>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</si>
  <si>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</si>
  <si>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</si>
  <si>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</si>
  <si>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</si>
  <si>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</si>
  <si>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</si>
  <si>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</si>
  <si>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</si>
  <si>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</si>
  <si>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</si>
  <si>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</si>
  <si>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</si>
  <si>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</si>
  <si>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</si>
  <si>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</si>
  <si>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</si>
  <si>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</si>
  <si>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</si>
  <si>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</si>
  <si>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</si>
  <si>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</si>
  <si>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</si>
  <si>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</si>
  <si>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</si>
  <si>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</si>
  <si>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</si>
  <si>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</si>
  <si>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</si>
  <si>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</si>
  <si>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</si>
  <si>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</si>
  <si>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</si>
  <si>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https://shopee.ph/608-608Z-608ZZ-608RS-608-2RS-Bearing-i.27267468.13275078714</t>
  </si>
  <si>
    <t>for RRL:</t>
  </si>
  <si>
    <t>science of electromagnets</t>
  </si>
  <si>
    <t>https://youtu.be/YYQayMrK4Fo?list=PLX-JqQpYfm1XB372KrjxN2yxgd2iYslIc</t>
  </si>
  <si>
    <t>item name</t>
  </si>
  <si>
    <t>quantity</t>
  </si>
  <si>
    <t xml:space="preserve">price </t>
  </si>
  <si>
    <t>unique item</t>
  </si>
  <si>
    <t>candidate 1 magnet</t>
  </si>
  <si>
    <t>candidate 2 magnet</t>
  </si>
  <si>
    <t>0.1mm 50m</t>
  </si>
  <si>
    <t>potentiometer</t>
  </si>
  <si>
    <t>topic</t>
  </si>
  <si>
    <t>coil winding</t>
  </si>
  <si>
    <t>https://www.globalspec.com/pfdetail/motors/motor-winding-calculations</t>
  </si>
  <si>
    <t>ano masasabi for this</t>
  </si>
  <si>
    <t>hall effect sensor</t>
  </si>
  <si>
    <t>https://electronoobs.com/eng_arduino_tut82.php</t>
  </si>
  <si>
    <t>https://www.diodes.com/assets/Datasheets/AH49E.pdf</t>
  </si>
  <si>
    <t>guide how to use</t>
  </si>
  <si>
    <t>bldc diy</t>
  </si>
  <si>
    <t>https://www.youtube.com/watch?v=wB1mUEClcNk</t>
  </si>
  <si>
    <t xml:space="preserve">fast af </t>
  </si>
  <si>
    <t>https://www.youtube.com/watch?v=Wqr1b4mWDsE</t>
  </si>
  <si>
    <t>battery holder (for 3 batteries in series)</t>
  </si>
  <si>
    <t>3 batteries</t>
  </si>
  <si>
    <t>18650 3Ah</t>
  </si>
  <si>
    <t>aligator clips</t>
  </si>
  <si>
    <t>49E</t>
  </si>
  <si>
    <t>Total</t>
  </si>
  <si>
    <t>https://www.quora.com/Increasing-the-number-of-coil-windings-on-an-electric-motor-does-not-always-increase-the-HP-of-the-motor-Therefore-what-does-the-number-of-windings-and-power-curve-look-like-for-an-electric-motor</t>
  </si>
  <si>
    <t>number</t>
  </si>
  <si>
    <t>supporting details</t>
  </si>
  <si>
    <t>jakob scherer = supporting argument</t>
  </si>
  <si>
    <t>links</t>
  </si>
  <si>
    <t>3s Li-ion/LiPo with at least 1.5 Ah</t>
  </si>
  <si>
    <t>https://shopee.ph/PKCell-3.7V-Lithium-ion-NMC-18650-21700-Battery-for-Solar-Electric-Scooter-Mini-Fan-Power-Bank-i.18252381.1670629656</t>
  </si>
  <si>
    <t>https://shopee.ph/60m-10m-of-Magnet-Wire-Enameled-Copper-Wire-Winding-For-Making-Electromagnet-Motor-0.1mm-0.2mm-0.3mm-0.4mm-0.5mm-0.6mm-0.7mm-0.8mm-0.9mm-i.866205405.18246963879</t>
  </si>
  <si>
    <t>https://shopee.ph/10pcs-Alligator-Clips-Electrical-DIY-Test-Leads-Alligator-Double-ended-Crocodile-Clips-Test-i.8710520.18989319838</t>
  </si>
  <si>
    <t>https://shopee.ph/10pcs-A3144-OH3144-OH137-49E-Hall-Effect-Sensor-Brushless-Electric-Motor-TO-92UA-A3144EUA-i.487295469.10441228144</t>
  </si>
  <si>
    <t>https://shopee.ph/Series-Battery-Holder-18650-with-Wire-1-Cell-2-Cell-3-Cell-1S-2S-3S-Single-Double-Triple-i.18252381.453473950</t>
  </si>
  <si>
    <t>https://shopee.ph/5-PCS-B10k-Rotary-Knob-type-10k-Ohm-Precision-Potentiometer-i.18252381.13228237269</t>
  </si>
  <si>
    <t>bk10 metallic</t>
  </si>
  <si>
    <t xml:space="preserve">will be updated further </t>
  </si>
  <si>
    <t>ples read these mdfking references</t>
  </si>
  <si>
    <t>then consult these for details</t>
  </si>
  <si>
    <t>REMOVED</t>
  </si>
  <si>
    <t>total pesos with shipping + (38 ph, 40 ch)</t>
  </si>
  <si>
    <t>https://www.monolithicpower.com/media/document/Brushless_DC_Motor_Fundamentals.pdf</t>
  </si>
  <si>
    <t>all r good resource</t>
  </si>
  <si>
    <t>bldc fundamentals</t>
  </si>
  <si>
    <t>bi directional level shift</t>
  </si>
  <si>
    <t>https://shopee.ph/Logic-Level-Converter-%E2%80%93-Bi-Directional-i.18252381.255177311</t>
  </si>
  <si>
    <t>ang gist ng design:</t>
  </si>
  <si>
    <t>motor</t>
  </si>
  <si>
    <t>1.green</t>
  </si>
  <si>
    <t>bolt</t>
  </si>
  <si>
    <t>wood (carved)</t>
  </si>
  <si>
    <t>materials for each components (unknown pa mga dimensions, malalaman nalang after ng rrl &amp; during designing phase)</t>
  </si>
  <si>
    <t>2.yellow</t>
  </si>
  <si>
    <t>gear</t>
  </si>
  <si>
    <t>3d printed parts</t>
  </si>
  <si>
    <t>bearings</t>
  </si>
  <si>
    <t>setup ng coil windings</t>
  </si>
  <si>
    <t>details ng 3: 3d printed parts</t>
  </si>
  <si>
    <t>LAHAT NG merong X is pending pa ang measurement</t>
  </si>
  <si>
    <t>A</t>
  </si>
  <si>
    <t>B</t>
  </si>
  <si>
    <t>C</t>
  </si>
  <si>
    <t>sana maging involved lahat sa paggawa ng paper at nung project, pero parang imposible base sa mga pinapakita nyong ndi binabasa ung mga nangyayari</t>
  </si>
  <si>
    <t>gawin muna natin ung paper (intro-objectives and limitations, and rrl; pabago ng sched @hilasque up until next weekend ang start ng designing)</t>
  </si>
  <si>
    <t>tapos base dun sa mga naresearch nating theory sa electromagnets at ung bldc motors, gawa na tayo ng design (methodology) considerations</t>
  </si>
  <si>
    <t>plus, meron na tayong placeholder design (temporary; nadecide kahapon sa meeting), pero magkaroroon ng minor changes dun after ng #1 step</t>
  </si>
  <si>
    <t>hatian ng task is magiging like dis:</t>
  </si>
  <si>
    <t>fauni</t>
  </si>
  <si>
    <t>hilasque</t>
  </si>
  <si>
    <t>bryan</t>
  </si>
  <si>
    <t>jesi</t>
  </si>
  <si>
    <t>patrick</t>
  </si>
  <si>
    <t>ali</t>
  </si>
  <si>
    <t xml:space="preserve">design </t>
  </si>
  <si>
    <t>construction</t>
  </si>
  <si>
    <t>ferris wheel</t>
  </si>
  <si>
    <t>gab</t>
  </si>
  <si>
    <t>paper</t>
  </si>
  <si>
    <t>construction/design</t>
  </si>
  <si>
    <t>construction &amp; design</t>
  </si>
  <si>
    <t xml:space="preserve">lahat ng </t>
  </si>
  <si>
    <t>eto mga main responsibility mo</t>
  </si>
  <si>
    <t>optional lang ung gumawa beyond dis scope</t>
  </si>
  <si>
    <t>prototype 1</t>
  </si>
  <si>
    <t>3.blue</t>
  </si>
  <si>
    <t>wire</t>
  </si>
  <si>
    <t>wire + resistor</t>
  </si>
  <si>
    <t>resistor</t>
  </si>
  <si>
    <t>r</t>
  </si>
  <si>
    <t>p</t>
  </si>
  <si>
    <t>dia</t>
  </si>
  <si>
    <t>inch</t>
  </si>
  <si>
    <t>mm</t>
  </si>
  <si>
    <t>M</t>
  </si>
  <si>
    <t>cop</t>
  </si>
  <si>
    <t>16 awg</t>
  </si>
  <si>
    <t>L</t>
  </si>
  <si>
    <t>0.9mm</t>
  </si>
  <si>
    <t>a</t>
  </si>
  <si>
    <t>0.7mm</t>
  </si>
  <si>
    <t>0.2mm</t>
  </si>
  <si>
    <t>0.1mm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</si>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</sst>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5" fillId="0" borderId="0" xfId="0" applyFont="1"/>
    <xf numFmtId="0" fontId="0" fillId="0" borderId="18" xfId="0" applyBorder="1" applyAlignment="1">
      <alignment wrapText="1"/>
    </xf>
    <xf numFmtId="0" fontId="3" fillId="0" borderId="19" xfId="0" applyFont="1" applyBorder="1"/>
    <xf numFmtId="0" fontId="0" fillId="0" borderId="19" xfId="0" applyBorder="1"/>
    <xf numFmtId="0" fontId="0" fillId="0" borderId="0" xfId="0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9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566059</xdr:colOff>
      <xdr:row>79</xdr:row>
      <xdr:rowOff>117433</xdr:rowOff>
    </xdr:from>
    <xdr:to>
      <xdr:col>25</xdr:col>
      <xdr:colOff>91021</xdr:colOff>
      <xdr:row>99</xdr:row>
      <xdr:rowOff>137601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D11779-8DB0-CD14-B560-D4658EDDA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5745" y="14736947"/>
          <a:ext cx="5620962" cy="3721311"/>
        </a:xfrm>
        <a:prstGeom prst="rect">
          <a:avLst/>
        </a:prstGeom>
      </xdr:spPr>
    </xdr:pic>
    <xdr:clientData/>
  </xdr:twoCellAnchor>
  <xdr:twoCellAnchor editAs="oneCell">
    <xdr:from>
      <xdr:col>2</xdr:col>
      <xdr:colOff>283029</xdr:colOff>
      <xdr:row>79</xdr:row>
      <xdr:rowOff>74909</xdr:rowOff>
    </xdr:from>
    <xdr:to>
      <xdr:col>14</xdr:col>
      <xdr:colOff>43241</xdr:colOff>
      <xdr:row>103</xdr:row>
      <xdr:rowOff>77734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58E371-FCB3-8A95-F36E-9291882B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2229" y="14694423"/>
          <a:ext cx="7848298" cy="4444197"/>
        </a:xfrm>
        <a:prstGeom prst="rect">
          <a:avLst/>
        </a:prstGeom>
      </xdr:spPr>
    </xdr:pic>
    <xdr:clientData/>
  </xdr:twoCellAnchor>
  <xdr:twoCellAnchor editAs="oneCell">
    <xdr:from>
      <xdr:col>1</xdr:col>
      <xdr:colOff>359229</xdr:colOff>
      <xdr:row>11</xdr:row>
      <xdr:rowOff>130629</xdr:rowOff>
    </xdr:from>
    <xdr:to>
      <xdr:col>9</xdr:col>
      <xdr:colOff>664478</xdr:colOff>
      <xdr:row>33</xdr:row>
      <xdr:rowOff>6874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C6E59B-4F4B-50DB-21BE-FDA74C8A7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829" y="2166258"/>
          <a:ext cx="5182049" cy="3947502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43543</xdr:colOff>
      <xdr:row>10</xdr:row>
      <xdr:rowOff>16454</xdr:rowOff>
    </xdr:from>
    <xdr:to>
      <xdr:col>22</xdr:col>
      <xdr:colOff>104159</xdr:colOff>
      <xdr:row>36</xdr:row>
      <xdr:rowOff>1593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9CE478-EB7F-1F19-80B9-59A42C2A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3" y="1867025"/>
          <a:ext cx="7078636" cy="4796625"/>
        </a:xfrm>
        <a:prstGeom prst="rect">
          <a:avLst/>
        </a:prstGeom>
      </xdr:spPr>
    </xdr:pic>
    <xdr:clientData/>
  </xdr:twoCellAnchor>
  <xdr:twoCellAnchor editAs="oneCell">
    <xdr:from>
      <xdr:col>24</xdr:col>
      <xdr:colOff>555170</xdr:colOff>
      <xdr:row>11</xdr:row>
      <xdr:rowOff>68348</xdr:rowOff>
    </xdr:from>
    <xdr:to>
      <xdr:col>33</xdr:col>
      <xdr:colOff>553689</xdr:colOff>
      <xdr:row>33</xdr:row>
      <xdr:rowOff>82159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543AD-38BA-C8D8-4D00-3E4645821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85570" y="2103977"/>
          <a:ext cx="5484919" cy="40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185057</xdr:colOff>
      <xdr:row>48</xdr:row>
      <xdr:rowOff>96323</xdr:rowOff>
    </xdr:from>
    <xdr:to>
      <xdr:col>9</xdr:col>
      <xdr:colOff>85625</xdr:colOff>
      <xdr:row>67</xdr:row>
      <xdr:rowOff>26641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3213D2-E6BC-7CD2-37BA-ECAC8FB73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4657" y="8979066"/>
          <a:ext cx="4777368" cy="3446404"/>
        </a:xfrm>
        <a:prstGeom prst="rect">
          <a:avLst/>
        </a:prstGeom>
      </xdr:spPr>
    </xdr:pic>
    <xdr:clientData/>
  </xdr:twoCellAnchor>
  <xdr:twoCellAnchor editAs="oneCell">
    <xdr:from>
      <xdr:col>25</xdr:col>
      <xdr:colOff>587495</xdr:colOff>
      <xdr:row>51</xdr:row>
      <xdr:rowOff>6532</xdr:rowOff>
    </xdr:from>
    <xdr:to>
      <xdr:col>33</xdr:col>
      <xdr:colOff>74872</xdr:colOff>
      <xdr:row>65</xdr:row>
      <xdr:rowOff>45139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E0E6FB-0166-89CB-F76B-BB4FB0FA6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43181" y="9444446"/>
          <a:ext cx="4364177" cy="262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bCEiOnuODac" TargetMode="External"/><Relationship Id="rId13" Type="http://schemas.openxmlformats.org/officeDocument/2006/relationships/hyperlink" Target="https://youtu.be/yiD5nCfmbV0" TargetMode="External"/><Relationship Id="rId18" Type="http://schemas.openxmlformats.org/officeDocument/2006/relationships/hyperlink" Target="https://youtu.be/YYQayMrK4Fo?list=PLX-JqQpYfm1XB372KrjxN2yxgd2iYslIc" TargetMode="External"/><Relationship Id="rId3" Type="http://schemas.openxmlformats.org/officeDocument/2006/relationships/hyperlink" Target="https://www.diodes.com/assets/Datasheets/AH49E.pdf" TargetMode="External"/><Relationship Id="rId7" Type="http://schemas.openxmlformats.org/officeDocument/2006/relationships/hyperlink" Target="https://www.monolithicpower.com/media/document/Brushless_DC_Motor_Fundamentals.pdf" TargetMode="External"/><Relationship Id="rId12" Type="http://schemas.openxmlformats.org/officeDocument/2006/relationships/hyperlink" Target="https://www.youtube.com/watch?v=uOQk8SJso6Q" TargetMode="External"/><Relationship Id="rId17" Type="http://schemas.openxmlformats.org/officeDocument/2006/relationships/hyperlink" Target="https://e2e.ti.com/support/motor-drivers-group/motor-drivers/f/motor-drivers-forum/366017/back-emf-or-hall-sensor-which-would-be-the-best" TargetMode="External"/><Relationship Id="rId2" Type="http://schemas.openxmlformats.org/officeDocument/2006/relationships/hyperlink" Target="https://www.globalspec.com/pfdetail/motors/motor-winding-calculations" TargetMode="External"/><Relationship Id="rId16" Type="http://schemas.openxmlformats.org/officeDocument/2006/relationships/hyperlink" Target="https://hobbyking.com/en_us/blog/reading-and-understanding-lipo-batteries/?___store=en_us" TargetMode="External"/><Relationship Id="rId1" Type="http://schemas.openxmlformats.org/officeDocument/2006/relationships/hyperlink" Target="https://www.quora.com/Increasing-the-number-of-coil-windings-on-an-electric-motor-does-not-always-increase-the-HP-of-the-motor-Therefore-what-does-the-number-of-windings-and-power-curve-look-like-for-an-electric-motor" TargetMode="External"/><Relationship Id="rId6" Type="http://schemas.openxmlformats.org/officeDocument/2006/relationships/hyperlink" Target="https://www.youtube.com/watch?v=Wqr1b4mWDsE" TargetMode="External"/><Relationship Id="rId11" Type="http://schemas.openxmlformats.org/officeDocument/2006/relationships/hyperlink" Target="https://youtu.be/CWulQ1ZSE3c" TargetMode="External"/><Relationship Id="rId5" Type="http://schemas.openxmlformats.org/officeDocument/2006/relationships/hyperlink" Target="https://www.youtube.com/watch?v=wB1mUEClcNk" TargetMode="External"/><Relationship Id="rId15" Type="http://schemas.openxmlformats.org/officeDocument/2006/relationships/hyperlink" Target="https://www.youtube.com/watch?v=NbcJvGk72HY" TargetMode="External"/><Relationship Id="rId10" Type="http://schemas.openxmlformats.org/officeDocument/2006/relationships/hyperlink" Target="https://shopee.ph/Hobbywing-Skywalker-15A-20A-30A-40A-50A-60A-80A-ESC-for-RC-i.53025630.1165194150" TargetMode="External"/><Relationship Id="rId19" Type="http://schemas.openxmlformats.org/officeDocument/2006/relationships/hyperlink" Target="https://www.youtube.com/watch?v=Wqr1b4mWDsE" TargetMode="External"/><Relationship Id="rId4" Type="http://schemas.openxmlformats.org/officeDocument/2006/relationships/hyperlink" Target="https://electronoobs.com/eng_arduino_tut82.php" TargetMode="External"/><Relationship Id="rId9" Type="http://schemas.openxmlformats.org/officeDocument/2006/relationships/hyperlink" Target="https://shopee.ph/-Univerlan-78pcs-Gearbox-toy-robot-motor-plastic-gear-DIY-model-accessories-HOT-SELL-i.179871873.15026360267" TargetMode="External"/><Relationship Id="rId14" Type="http://schemas.openxmlformats.org/officeDocument/2006/relationships/hyperlink" Target="https://youtu.be/yiD5nCfmbV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10pcs-Alligator-Clips-Electrical-DIY-Test-Leads-Alligator-Double-ended-Crocodile-Clips-Test-i.8710520.18989319838" TargetMode="External"/><Relationship Id="rId3" Type="http://schemas.openxmlformats.org/officeDocument/2006/relationships/hyperlink" Target="https://shopee.ph/60m-10m-of-Magnet-Wire-Enameled-Copper-Wire-Winding-For-Making-Electromagnet-Motor-0.1mm-0.2mm-0.3mm-0.4mm-0.5mm-0.6mm-0.7mm-0.8mm-0.9mm-i.866205405.18246963879" TargetMode="External"/><Relationship Id="rId7" Type="http://schemas.openxmlformats.org/officeDocument/2006/relationships/hyperlink" Target="https://shopee.ph/Series-Battery-Holder-18650-with-Wire-1-Cell-2-Cell-3-Cell-1S-2S-3S-Single-Double-Triple-i.18252381.45347395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product/590733809/22314109546?d_id=a94de" TargetMode="External"/><Relationship Id="rId6" Type="http://schemas.openxmlformats.org/officeDocument/2006/relationships/hyperlink" Target="https://shopee.ph/PKCell-3.7V-Lithium-ion-NMC-18650-21700-Battery-for-Solar-Electric-Scooter-Mini-Fan-Power-Bank-i.18252381.1670629656" TargetMode="External"/><Relationship Id="rId11" Type="http://schemas.openxmlformats.org/officeDocument/2006/relationships/hyperlink" Target="https://shopee.ph/Logic-Level-Converter-%E2%80%93-Bi-Directional-i.18252381.255177311" TargetMode="External"/><Relationship Id="rId5" Type="http://schemas.openxmlformats.org/officeDocument/2006/relationships/hyperlink" Target="https://shopee.ph/5-PCS-B10k-Rotary-Knob-type-10k-Ohm-Precision-Potentiometer-i.18252381.13228237269" TargetMode="External"/><Relationship Id="rId10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4" Type="http://schemas.openxmlformats.org/officeDocument/2006/relationships/hyperlink" Target="https://shopee.ph/Hobbywing-Skywalker-15A-20A-30A-40A-50A-60A-80A-ESC-for-RC-i.53025630.1165194150" TargetMode="External"/><Relationship Id="rId9" Type="http://schemas.openxmlformats.org/officeDocument/2006/relationships/hyperlink" Target="https://shopee.ph/10pcs-A3144-OH3144-OH137-49E-Hall-Effect-Sensor-Brushless-Electric-Motor-TO-92UA-A3144EUA-i.487295469.1044122814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05EE-8DBB-4778-986E-BA0587C5A8CE}">
  <dimension ref="B4:AA159"/>
  <sheetViews>
    <sheetView tabSelected="1" zoomScale="70" zoomScaleNormal="70" workbookViewId="0">
      <selection activeCell="C5" sqref="C5"/>
    </sheetView>
  </sheetViews>
  <sheetFormatPr defaultRowHeight="14.4" x14ac:dyDescent="0.3"/>
  <cols>
    <col min="10" max="10" width="12.109375" customWidth="1"/>
    <col min="11" max="11" width="12.33203125" customWidth="1"/>
    <col min="14" max="14" width="13.44140625" customWidth="1"/>
  </cols>
  <sheetData>
    <row r="4" spans="2:13" x14ac:dyDescent="0.3">
      <c r="B4" t="s">
        <v>180</v>
      </c>
      <c r="C4" t="s">
        <v>184</v>
      </c>
    </row>
    <row r="5" spans="2:13" x14ac:dyDescent="0.3">
      <c r="B5" t="s">
        <v>181</v>
      </c>
      <c r="C5" t="s">
        <v>185</v>
      </c>
    </row>
    <row r="6" spans="2:13" x14ac:dyDescent="0.3">
      <c r="C6" t="s">
        <v>186</v>
      </c>
    </row>
    <row r="8" spans="2:13" x14ac:dyDescent="0.3">
      <c r="C8" t="s">
        <v>167</v>
      </c>
    </row>
    <row r="10" spans="2:13" x14ac:dyDescent="0.3">
      <c r="M10" t="s">
        <v>204</v>
      </c>
    </row>
    <row r="11" spans="2:13" x14ac:dyDescent="0.3">
      <c r="C11" t="s">
        <v>168</v>
      </c>
    </row>
    <row r="49" spans="13:27" x14ac:dyDescent="0.3">
      <c r="M49" t="s">
        <v>172</v>
      </c>
    </row>
    <row r="50" spans="13:27" x14ac:dyDescent="0.3">
      <c r="M50" s="51" t="s">
        <v>169</v>
      </c>
      <c r="N50" s="2" t="s">
        <v>98</v>
      </c>
      <c r="AA50" t="s">
        <v>177</v>
      </c>
    </row>
    <row r="51" spans="13:27" x14ac:dyDescent="0.3">
      <c r="M51" s="51"/>
      <c r="N51" s="2" t="s">
        <v>170</v>
      </c>
    </row>
    <row r="52" spans="13:27" x14ac:dyDescent="0.3">
      <c r="M52" s="51"/>
      <c r="N52" s="2" t="s">
        <v>171</v>
      </c>
    </row>
    <row r="53" spans="13:27" x14ac:dyDescent="0.3">
      <c r="M53" s="51" t="s">
        <v>173</v>
      </c>
      <c r="N53" s="2" t="s">
        <v>12</v>
      </c>
    </row>
    <row r="54" spans="13:27" x14ac:dyDescent="0.3">
      <c r="M54" s="51"/>
      <c r="N54" s="2" t="s">
        <v>174</v>
      </c>
    </row>
    <row r="55" spans="13:27" x14ac:dyDescent="0.3">
      <c r="M55" s="51" t="s">
        <v>205</v>
      </c>
      <c r="N55" s="2" t="s">
        <v>175</v>
      </c>
    </row>
    <row r="56" spans="13:27" x14ac:dyDescent="0.3">
      <c r="M56" s="51"/>
      <c r="N56" s="2" t="s">
        <v>11</v>
      </c>
    </row>
    <row r="57" spans="13:27" x14ac:dyDescent="0.3">
      <c r="M57" s="51"/>
      <c r="N57" s="2" t="s">
        <v>176</v>
      </c>
    </row>
    <row r="58" spans="13:27" x14ac:dyDescent="0.3">
      <c r="M58" s="51"/>
      <c r="N58" s="2" t="s">
        <v>12</v>
      </c>
    </row>
    <row r="79" spans="4:17" x14ac:dyDescent="0.3">
      <c r="D79" t="s">
        <v>178</v>
      </c>
      <c r="Q79" t="s">
        <v>179</v>
      </c>
    </row>
    <row r="116" spans="2:11" x14ac:dyDescent="0.3">
      <c r="B116" t="s">
        <v>182</v>
      </c>
      <c r="C116" t="s">
        <v>183</v>
      </c>
    </row>
    <row r="117" spans="2:11" x14ac:dyDescent="0.3">
      <c r="C117" t="s">
        <v>187</v>
      </c>
    </row>
    <row r="125" spans="2:11" x14ac:dyDescent="0.3">
      <c r="I125" t="s">
        <v>188</v>
      </c>
      <c r="J125" s="47" t="s">
        <v>194</v>
      </c>
      <c r="K125" s="52" t="s">
        <v>196</v>
      </c>
    </row>
    <row r="126" spans="2:11" x14ac:dyDescent="0.3">
      <c r="J126" s="29" t="s">
        <v>195</v>
      </c>
      <c r="K126" s="52"/>
    </row>
    <row r="127" spans="2:11" x14ac:dyDescent="0.3">
      <c r="J127" s="29" t="s">
        <v>195</v>
      </c>
      <c r="K127" s="2" t="s">
        <v>168</v>
      </c>
    </row>
    <row r="128" spans="2:11" x14ac:dyDescent="0.3">
      <c r="J128" s="45"/>
    </row>
    <row r="129" spans="9:18" x14ac:dyDescent="0.3">
      <c r="J129" s="45"/>
    </row>
    <row r="130" spans="9:18" x14ac:dyDescent="0.3">
      <c r="J130" s="45"/>
    </row>
    <row r="131" spans="9:18" x14ac:dyDescent="0.3">
      <c r="J131" s="45"/>
    </row>
    <row r="132" spans="9:18" ht="28.8" customHeight="1" x14ac:dyDescent="0.3">
      <c r="I132" t="s">
        <v>197</v>
      </c>
      <c r="J132" s="48" t="s">
        <v>199</v>
      </c>
      <c r="K132" s="2" t="s">
        <v>198</v>
      </c>
      <c r="R132" t="s">
        <v>202</v>
      </c>
    </row>
    <row r="133" spans="9:18" x14ac:dyDescent="0.3">
      <c r="J133" s="49"/>
      <c r="K133" s="46" t="s">
        <v>196</v>
      </c>
      <c r="R133" t="s">
        <v>203</v>
      </c>
    </row>
    <row r="134" spans="9:18" x14ac:dyDescent="0.3">
      <c r="J134" s="50"/>
      <c r="K134" s="46" t="s">
        <v>168</v>
      </c>
    </row>
    <row r="136" spans="9:18" ht="28.8" customHeight="1" x14ac:dyDescent="0.3">
      <c r="I136" t="s">
        <v>189</v>
      </c>
      <c r="J136" s="48" t="s">
        <v>199</v>
      </c>
      <c r="K136" s="2" t="s">
        <v>198</v>
      </c>
    </row>
    <row r="137" spans="9:18" x14ac:dyDescent="0.3">
      <c r="J137" s="50"/>
      <c r="K137" s="46" t="s">
        <v>196</v>
      </c>
    </row>
    <row r="138" spans="9:18" x14ac:dyDescent="0.3">
      <c r="J138" s="45"/>
    </row>
    <row r="140" spans="9:18" ht="28.8" customHeight="1" x14ac:dyDescent="0.3">
      <c r="I140" t="s">
        <v>190</v>
      </c>
      <c r="J140" s="48" t="s">
        <v>200</v>
      </c>
      <c r="K140" s="2" t="s">
        <v>198</v>
      </c>
    </row>
    <row r="141" spans="9:18" x14ac:dyDescent="0.3">
      <c r="J141" s="50"/>
      <c r="K141" s="2" t="s">
        <v>168</v>
      </c>
    </row>
    <row r="142" spans="9:18" x14ac:dyDescent="0.3">
      <c r="J142" s="45"/>
    </row>
    <row r="143" spans="9:18" ht="28.8" customHeight="1" x14ac:dyDescent="0.3">
      <c r="I143" t="s">
        <v>193</v>
      </c>
      <c r="J143" s="48" t="s">
        <v>199</v>
      </c>
      <c r="K143" s="2" t="s">
        <v>168</v>
      </c>
    </row>
    <row r="144" spans="9:18" x14ac:dyDescent="0.3">
      <c r="J144" s="50"/>
      <c r="K144" s="2" t="s">
        <v>196</v>
      </c>
    </row>
    <row r="145" spans="5:11" x14ac:dyDescent="0.3">
      <c r="J145" s="45"/>
    </row>
    <row r="146" spans="5:11" x14ac:dyDescent="0.3">
      <c r="J146" s="45"/>
    </row>
    <row r="147" spans="5:11" x14ac:dyDescent="0.3">
      <c r="J147" s="45"/>
    </row>
    <row r="148" spans="5:11" ht="28.8" customHeight="1" x14ac:dyDescent="0.3">
      <c r="I148" t="s">
        <v>192</v>
      </c>
      <c r="J148" s="48" t="s">
        <v>199</v>
      </c>
      <c r="K148" s="2" t="s">
        <v>198</v>
      </c>
    </row>
    <row r="149" spans="5:11" x14ac:dyDescent="0.3">
      <c r="J149" s="49"/>
      <c r="K149" s="2" t="s">
        <v>168</v>
      </c>
    </row>
    <row r="150" spans="5:11" x14ac:dyDescent="0.3">
      <c r="J150" s="50"/>
      <c r="K150" s="2" t="s">
        <v>196</v>
      </c>
    </row>
    <row r="151" spans="5:11" x14ac:dyDescent="0.3">
      <c r="J151" s="45"/>
    </row>
    <row r="152" spans="5:11" x14ac:dyDescent="0.3">
      <c r="J152" s="45"/>
    </row>
    <row r="153" spans="5:11" ht="28.8" customHeight="1" x14ac:dyDescent="0.3">
      <c r="I153" t="s">
        <v>191</v>
      </c>
      <c r="J153" s="53" t="s">
        <v>200</v>
      </c>
      <c r="K153" s="2" t="s">
        <v>198</v>
      </c>
    </row>
    <row r="154" spans="5:11" x14ac:dyDescent="0.3">
      <c r="J154" s="53"/>
      <c r="K154" s="2" t="s">
        <v>168</v>
      </c>
    </row>
    <row r="155" spans="5:11" x14ac:dyDescent="0.3">
      <c r="J155" s="53"/>
      <c r="K155" s="2" t="s">
        <v>196</v>
      </c>
    </row>
    <row r="159" spans="5:11" x14ac:dyDescent="0.3">
      <c r="E159" t="s">
        <v>201</v>
      </c>
    </row>
  </sheetData>
  <mergeCells count="10">
    <mergeCell ref="J140:J141"/>
    <mergeCell ref="J143:J144"/>
    <mergeCell ref="J148:J150"/>
    <mergeCell ref="J153:J155"/>
    <mergeCell ref="J136:J137"/>
    <mergeCell ref="J132:J134"/>
    <mergeCell ref="M50:M52"/>
    <mergeCell ref="M55:M58"/>
    <mergeCell ref="M53:M54"/>
    <mergeCell ref="K125:K1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E407-BF25-41AB-851C-5DD43D85D019}">
  <dimension ref="A1:O12"/>
  <sheetViews>
    <sheetView workbookViewId="0">
      <selection activeCell="E7" sqref="E7"/>
    </sheetView>
  </sheetViews>
  <sheetFormatPr defaultRowHeight="14.4" x14ac:dyDescent="0.3"/>
  <cols>
    <col min="2" max="2" width="12" bestFit="1" customWidth="1"/>
    <col min="10" max="10" width="12" bestFit="1" customWidth="1"/>
  </cols>
  <sheetData>
    <row r="1" spans="1:15" x14ac:dyDescent="0.3">
      <c r="B1" t="s">
        <v>206</v>
      </c>
      <c r="C1" t="s">
        <v>207</v>
      </c>
      <c r="D1" t="s">
        <v>208</v>
      </c>
    </row>
    <row r="2" spans="1:15" x14ac:dyDescent="0.3">
      <c r="A2" t="s">
        <v>209</v>
      </c>
      <c r="B2">
        <f>(B4*B5)/B6</f>
        <v>8.3768768251371792</v>
      </c>
      <c r="C2">
        <f>B2+D2</f>
        <v>37.376876825137181</v>
      </c>
      <c r="D2">
        <v>29</v>
      </c>
    </row>
    <row r="3" spans="1:15" x14ac:dyDescent="0.3">
      <c r="J3" t="s">
        <v>210</v>
      </c>
      <c r="L3" t="s">
        <v>211</v>
      </c>
      <c r="M3" t="s">
        <v>212</v>
      </c>
      <c r="N3" t="s">
        <v>213</v>
      </c>
      <c r="O3" t="s">
        <v>214</v>
      </c>
    </row>
    <row r="4" spans="1:15" x14ac:dyDescent="0.3">
      <c r="A4" t="s">
        <v>210</v>
      </c>
      <c r="B4">
        <f>J4</f>
        <v>1.6200000000000003E-8</v>
      </c>
      <c r="I4" t="s">
        <v>215</v>
      </c>
      <c r="J4">
        <f>1.62 * (10^-8)</f>
        <v>1.6200000000000003E-8</v>
      </c>
      <c r="L4" t="s">
        <v>216</v>
      </c>
      <c r="M4">
        <v>5.1999999999999998E-2</v>
      </c>
      <c r="N4">
        <f>M4*25.4</f>
        <v>1.3208</v>
      </c>
      <c r="O4">
        <f>N4*0.001</f>
        <v>1.3208E-3</v>
      </c>
    </row>
    <row r="5" spans="1:15" x14ac:dyDescent="0.3">
      <c r="A5" t="s">
        <v>217</v>
      </c>
      <c r="B5">
        <v>199</v>
      </c>
      <c r="L5" t="s">
        <v>218</v>
      </c>
      <c r="N5">
        <v>0.9</v>
      </c>
      <c r="O5">
        <f t="shared" ref="O5:O8" si="0">N5*0.001</f>
        <v>9.0000000000000008E-4</v>
      </c>
    </row>
    <row r="6" spans="1:15" x14ac:dyDescent="0.3">
      <c r="A6" t="s">
        <v>219</v>
      </c>
      <c r="B6">
        <f>PI()*((O6/2)^2)</f>
        <v>3.8484510006474966E-7</v>
      </c>
      <c r="L6" t="s">
        <v>220</v>
      </c>
      <c r="N6">
        <v>0.7</v>
      </c>
      <c r="O6">
        <f t="shared" si="0"/>
        <v>6.9999999999999999E-4</v>
      </c>
    </row>
    <row r="7" spans="1:15" x14ac:dyDescent="0.3">
      <c r="L7" t="s">
        <v>221</v>
      </c>
      <c r="N7">
        <v>0.2</v>
      </c>
      <c r="O7">
        <f t="shared" si="0"/>
        <v>2.0000000000000001E-4</v>
      </c>
    </row>
    <row r="8" spans="1:15" x14ac:dyDescent="0.3">
      <c r="L8" t="s">
        <v>222</v>
      </c>
      <c r="N8">
        <v>0.1</v>
      </c>
      <c r="O8">
        <f t="shared" si="0"/>
        <v>1E-4</v>
      </c>
    </row>
    <row r="11" spans="1:15" x14ac:dyDescent="0.3">
      <c r="A11" t="s">
        <v>223</v>
      </c>
      <c r="B11">
        <f>7.9</f>
        <v>7.9</v>
      </c>
    </row>
    <row r="12" spans="1:15" x14ac:dyDescent="0.3">
      <c r="A12" t="s">
        <v>224</v>
      </c>
      <c r="B12">
        <f>B11/C2</f>
        <v>0.21136062376102516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EC37-910C-43FB-ABC5-682BD73B1403}">
  <dimension ref="A4:K67"/>
  <sheetViews>
    <sheetView topLeftCell="A25" workbookViewId="0">
      <selection activeCell="B29" sqref="B29"/>
    </sheetView>
  </sheetViews>
  <sheetFormatPr defaultRowHeight="14.4" x14ac:dyDescent="0.3"/>
  <cols>
    <col min="1" max="1" width="8.109375" customWidth="1"/>
    <col min="2" max="2" width="16" customWidth="1"/>
    <col min="4" max="4" width="32.33203125" customWidth="1"/>
  </cols>
  <sheetData>
    <row r="4" spans="1:4" x14ac:dyDescent="0.3">
      <c r="B4" t="s">
        <v>159</v>
      </c>
    </row>
    <row r="9" spans="1:4" x14ac:dyDescent="0.3">
      <c r="A9" s="2" t="s">
        <v>145</v>
      </c>
      <c r="B9" s="2" t="s">
        <v>126</v>
      </c>
      <c r="C9" s="2" t="s">
        <v>44</v>
      </c>
      <c r="D9" s="2" t="s">
        <v>129</v>
      </c>
    </row>
    <row r="10" spans="1:4" x14ac:dyDescent="0.3">
      <c r="A10" s="2">
        <v>1</v>
      </c>
      <c r="B10" s="59" t="s">
        <v>127</v>
      </c>
      <c r="C10" s="12" t="s">
        <v>128</v>
      </c>
      <c r="D10" s="2" t="s">
        <v>146</v>
      </c>
    </row>
    <row r="11" spans="1:4" x14ac:dyDescent="0.3">
      <c r="A11" s="2">
        <v>1.1000000000000001</v>
      </c>
      <c r="B11" s="60"/>
      <c r="C11" s="12" t="s">
        <v>144</v>
      </c>
      <c r="D11" s="2" t="s">
        <v>147</v>
      </c>
    </row>
    <row r="12" spans="1:4" x14ac:dyDescent="0.3">
      <c r="A12" s="2">
        <v>2</v>
      </c>
      <c r="B12" s="59" t="s">
        <v>130</v>
      </c>
      <c r="C12" s="12" t="s">
        <v>132</v>
      </c>
      <c r="D12" s="2" t="s">
        <v>18</v>
      </c>
    </row>
    <row r="13" spans="1:4" x14ac:dyDescent="0.3">
      <c r="A13" s="2">
        <v>2.1</v>
      </c>
      <c r="B13" s="60"/>
      <c r="C13" s="12" t="s">
        <v>131</v>
      </c>
      <c r="D13" s="2" t="s">
        <v>133</v>
      </c>
    </row>
    <row r="14" spans="1:4" x14ac:dyDescent="0.3">
      <c r="A14" s="2">
        <v>3</v>
      </c>
      <c r="B14" s="59" t="s">
        <v>134</v>
      </c>
      <c r="C14" s="12" t="s">
        <v>135</v>
      </c>
      <c r="D14" s="2" t="s">
        <v>136</v>
      </c>
    </row>
    <row r="15" spans="1:4" x14ac:dyDescent="0.3">
      <c r="A15" s="2">
        <v>3.1</v>
      </c>
      <c r="B15" s="60"/>
      <c r="C15" s="12" t="s">
        <v>137</v>
      </c>
      <c r="D15" s="2" t="s">
        <v>136</v>
      </c>
    </row>
    <row r="16" spans="1:4" x14ac:dyDescent="0.3">
      <c r="A16" s="44">
        <v>4</v>
      </c>
      <c r="B16" t="s">
        <v>164</v>
      </c>
      <c r="C16" s="37" t="s">
        <v>162</v>
      </c>
      <c r="D16" s="44" t="s">
        <v>163</v>
      </c>
    </row>
    <row r="27" spans="2:9" x14ac:dyDescent="0.3">
      <c r="B27" t="s">
        <v>158</v>
      </c>
    </row>
    <row r="28" spans="2:9" ht="15" thickBot="1" x14ac:dyDescent="0.35"/>
    <row r="29" spans="2:9" ht="26.4" thickBot="1" x14ac:dyDescent="0.55000000000000004">
      <c r="B29" s="6" t="s">
        <v>2</v>
      </c>
      <c r="C29" s="61" t="s">
        <v>3</v>
      </c>
      <c r="D29" s="4" t="s">
        <v>29</v>
      </c>
      <c r="E29" s="56" t="s">
        <v>0</v>
      </c>
      <c r="F29" s="57"/>
      <c r="G29" s="57"/>
      <c r="H29" s="57"/>
      <c r="I29" s="58"/>
    </row>
    <row r="30" spans="2:9" ht="15" thickBot="1" x14ac:dyDescent="0.35">
      <c r="C30" s="61"/>
      <c r="D30" s="5" t="s">
        <v>34</v>
      </c>
      <c r="E30" s="62" t="s">
        <v>22</v>
      </c>
      <c r="F30" s="63"/>
      <c r="G30" s="63"/>
      <c r="H30" s="63"/>
      <c r="I30" s="64"/>
    </row>
    <row r="31" spans="2:9" ht="15" thickBot="1" x14ac:dyDescent="0.35">
      <c r="C31" s="61"/>
      <c r="D31" s="4" t="s">
        <v>28</v>
      </c>
      <c r="E31" s="56" t="s">
        <v>27</v>
      </c>
      <c r="F31" s="57"/>
      <c r="G31" s="57"/>
      <c r="H31" s="57"/>
      <c r="I31" s="58"/>
    </row>
    <row r="32" spans="2:9" ht="15" thickBot="1" x14ac:dyDescent="0.35">
      <c r="C32" s="61"/>
      <c r="D32" s="4" t="s">
        <v>30</v>
      </c>
      <c r="E32" s="56" t="s">
        <v>1</v>
      </c>
      <c r="F32" s="56"/>
      <c r="G32" s="56"/>
      <c r="H32" s="56"/>
      <c r="I32" s="65"/>
    </row>
    <row r="34" spans="2:11" x14ac:dyDescent="0.3">
      <c r="C34" s="54" t="s">
        <v>4</v>
      </c>
      <c r="D34" t="s">
        <v>26</v>
      </c>
      <c r="E34" s="37" t="s">
        <v>0</v>
      </c>
    </row>
    <row r="35" spans="2:11" x14ac:dyDescent="0.3">
      <c r="C35" s="55"/>
      <c r="D35" t="s">
        <v>25</v>
      </c>
      <c r="E35" s="37" t="s">
        <v>24</v>
      </c>
    </row>
    <row r="37" spans="2:11" x14ac:dyDescent="0.3">
      <c r="C37" s="51" t="s">
        <v>5</v>
      </c>
      <c r="E37" s="37" t="s">
        <v>6</v>
      </c>
    </row>
    <row r="38" spans="2:11" x14ac:dyDescent="0.3">
      <c r="C38" s="51"/>
      <c r="E38" s="37" t="s">
        <v>137</v>
      </c>
    </row>
    <row r="40" spans="2:11" ht="86.4" x14ac:dyDescent="0.3">
      <c r="C40" s="3" t="s">
        <v>7</v>
      </c>
      <c r="E40" s="37" t="s">
        <v>8</v>
      </c>
    </row>
    <row r="43" spans="2:11" ht="15" thickBot="1" x14ac:dyDescent="0.35"/>
    <row r="44" spans="2:11" ht="60" thickBot="1" x14ac:dyDescent="0.5">
      <c r="B44" s="41" t="s">
        <v>115</v>
      </c>
      <c r="C44" s="42" t="s">
        <v>116</v>
      </c>
      <c r="D44" s="4" t="s">
        <v>29</v>
      </c>
      <c r="E44" s="56" t="s">
        <v>117</v>
      </c>
      <c r="F44" s="57"/>
      <c r="G44" s="57"/>
      <c r="H44" s="57"/>
      <c r="I44" s="57"/>
      <c r="J44" s="57"/>
      <c r="K44" s="58"/>
    </row>
    <row r="50" spans="2:10" ht="25.8" x14ac:dyDescent="0.5">
      <c r="B50" s="6" t="s">
        <v>9</v>
      </c>
    </row>
    <row r="52" spans="2:10" x14ac:dyDescent="0.3">
      <c r="C52" s="51" t="s">
        <v>10</v>
      </c>
    </row>
    <row r="53" spans="2:10" x14ac:dyDescent="0.3">
      <c r="C53" s="51"/>
      <c r="E53" t="s">
        <v>113</v>
      </c>
    </row>
    <row r="54" spans="2:10" x14ac:dyDescent="0.3">
      <c r="C54" s="51"/>
      <c r="E54" t="s">
        <v>11</v>
      </c>
    </row>
    <row r="55" spans="2:10" x14ac:dyDescent="0.3">
      <c r="C55" s="51"/>
      <c r="E55" t="s">
        <v>21</v>
      </c>
    </row>
    <row r="56" spans="2:10" x14ac:dyDescent="0.3">
      <c r="C56" s="51"/>
      <c r="E56" t="s">
        <v>20</v>
      </c>
      <c r="J56" s="37" t="s">
        <v>19</v>
      </c>
    </row>
    <row r="57" spans="2:10" x14ac:dyDescent="0.3">
      <c r="C57" s="51"/>
      <c r="E57" t="s">
        <v>15</v>
      </c>
    </row>
    <row r="58" spans="2:10" x14ac:dyDescent="0.3">
      <c r="C58" s="51"/>
      <c r="E58" t="s">
        <v>12</v>
      </c>
    </row>
    <row r="59" spans="2:10" x14ac:dyDescent="0.3">
      <c r="C59" s="51"/>
      <c r="E59" t="s">
        <v>13</v>
      </c>
      <c r="J59" s="37" t="s">
        <v>23</v>
      </c>
    </row>
    <row r="60" spans="2:10" x14ac:dyDescent="0.3">
      <c r="C60" s="51"/>
      <c r="E60" t="s">
        <v>14</v>
      </c>
    </row>
    <row r="61" spans="2:10" x14ac:dyDescent="0.3">
      <c r="C61" s="51"/>
      <c r="E61" t="s">
        <v>35</v>
      </c>
    </row>
    <row r="63" spans="2:10" x14ac:dyDescent="0.3">
      <c r="C63" s="2" t="s">
        <v>16</v>
      </c>
    </row>
    <row r="64" spans="2:10" x14ac:dyDescent="0.3">
      <c r="C64" s="1" t="s">
        <v>18</v>
      </c>
      <c r="D64" t="s">
        <v>17</v>
      </c>
    </row>
    <row r="65" spans="3:4" x14ac:dyDescent="0.3">
      <c r="C65" s="1" t="s">
        <v>18</v>
      </c>
      <c r="D65" t="s">
        <v>31</v>
      </c>
    </row>
    <row r="66" spans="3:4" x14ac:dyDescent="0.3">
      <c r="C66" s="1" t="s">
        <v>18</v>
      </c>
      <c r="D66" t="s">
        <v>32</v>
      </c>
    </row>
    <row r="67" spans="3:4" x14ac:dyDescent="0.3">
      <c r="C67" s="1" t="s">
        <v>18</v>
      </c>
      <c r="D67" t="s">
        <v>33</v>
      </c>
    </row>
  </sheetData>
  <mergeCells count="12">
    <mergeCell ref="C34:C35"/>
    <mergeCell ref="C37:C38"/>
    <mergeCell ref="E44:K44"/>
    <mergeCell ref="C52:C61"/>
    <mergeCell ref="B10:B11"/>
    <mergeCell ref="B12:B13"/>
    <mergeCell ref="B14:B15"/>
    <mergeCell ref="C29:C32"/>
    <mergeCell ref="E29:I29"/>
    <mergeCell ref="E30:I30"/>
    <mergeCell ref="E31:I31"/>
    <mergeCell ref="E32:I32"/>
  </mergeCells>
  <hyperlinks>
    <hyperlink ref="C11" r:id="rId1" xr:uid="{9901E4ED-5E8F-48CC-89B9-3F506624C58D}"/>
    <hyperlink ref="C10" r:id="rId2" xr:uid="{1C90D308-8BDF-4324-8358-B3895635D1E7}"/>
    <hyperlink ref="C12" r:id="rId3" xr:uid="{7FF92000-990C-440C-AD88-A184181C85FB}"/>
    <hyperlink ref="C13" r:id="rId4" xr:uid="{82838CCE-44FE-4D70-90B2-AD6A77EF51ED}"/>
    <hyperlink ref="C14" r:id="rId5" xr:uid="{40EDC363-0C8E-4B5C-A177-F4C5254B280E}"/>
    <hyperlink ref="C15" r:id="rId6" xr:uid="{3B702C57-C53E-470D-952B-7B51DCF022BE}"/>
    <hyperlink ref="C16" r:id="rId7" xr:uid="{02E26761-472F-4897-B5F6-00BC99B6EFE2}"/>
    <hyperlink ref="E32" r:id="rId8" xr:uid="{502A1513-097A-47B7-918D-7E70E4BF83CB}"/>
    <hyperlink ref="J59" r:id="rId9" xr:uid="{A1F71FC2-395C-4AF7-B684-5FAD0F88BB0E}"/>
    <hyperlink ref="J56" r:id="rId10" xr:uid="{1AE67ACE-AE33-40BA-B64A-8BDEFAE978FA}"/>
    <hyperlink ref="E31" r:id="rId11" xr:uid="{2F12D0A5-15DF-4AB7-9727-74EBEAC8DC47}"/>
    <hyperlink ref="E30" r:id="rId12" xr:uid="{17D0D763-4141-4000-BFC7-F0B1C6778DA6}"/>
    <hyperlink ref="E29" r:id="rId13" xr:uid="{BF24D5A6-B3D0-469F-A224-7EAB0B237ABB}"/>
    <hyperlink ref="E34" r:id="rId14" xr:uid="{757EF0F3-AE46-4961-AA1E-6071816FF60C}"/>
    <hyperlink ref="E35" r:id="rId15" xr:uid="{7E071480-3E43-4158-8223-14EB65A5A0DC}"/>
    <hyperlink ref="E37" r:id="rId16" xr:uid="{C95EE42F-5790-45D0-9FB2-F60E1E9984B8}"/>
    <hyperlink ref="E40" r:id="rId17" xr:uid="{BF82CF50-DEB4-493E-8E6A-1071AEE37D06}"/>
    <hyperlink ref="E44" r:id="rId18" xr:uid="{C07DB616-CC23-4E5D-9115-45A7281E35B1}"/>
    <hyperlink ref="E38" r:id="rId19" xr:uid="{AEAC1480-6CD4-4689-9BAB-FF3BC3D639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3588-76EC-44BD-8AE0-3352EC381993}">
  <dimension ref="A2:G27"/>
  <sheetViews>
    <sheetView workbookViewId="0">
      <selection activeCell="D8" sqref="D8"/>
    </sheetView>
  </sheetViews>
  <sheetFormatPr defaultRowHeight="14.4" x14ac:dyDescent="0.3"/>
  <cols>
    <col min="2" max="2" width="20.109375" customWidth="1"/>
    <col min="5" max="5" width="34.6640625" customWidth="1"/>
    <col min="6" max="6" width="14.88671875" customWidth="1"/>
    <col min="7" max="7" width="10.6640625" customWidth="1"/>
  </cols>
  <sheetData>
    <row r="2" spans="1:7" x14ac:dyDescent="0.3">
      <c r="A2" s="2" t="s">
        <v>36</v>
      </c>
      <c r="B2" s="2" t="s">
        <v>118</v>
      </c>
      <c r="C2" s="2" t="s">
        <v>119</v>
      </c>
      <c r="D2" s="2" t="s">
        <v>120</v>
      </c>
      <c r="E2" s="2" t="s">
        <v>161</v>
      </c>
      <c r="F2" s="2" t="s">
        <v>121</v>
      </c>
      <c r="G2" s="2" t="s">
        <v>148</v>
      </c>
    </row>
    <row r="3" spans="1:7" x14ac:dyDescent="0.3">
      <c r="A3">
        <v>1</v>
      </c>
      <c r="B3" t="s">
        <v>123</v>
      </c>
      <c r="C3">
        <v>4</v>
      </c>
      <c r="D3">
        <v>27</v>
      </c>
      <c r="E3">
        <v>148</v>
      </c>
      <c r="F3" s="2" t="s">
        <v>51</v>
      </c>
      <c r="G3" s="37" t="s">
        <v>50</v>
      </c>
    </row>
    <row r="4" spans="1:7" x14ac:dyDescent="0.3">
      <c r="A4" s="2">
        <v>2</v>
      </c>
      <c r="B4" s="2" t="s">
        <v>123</v>
      </c>
      <c r="C4" s="2">
        <v>4</v>
      </c>
      <c r="D4" s="2">
        <v>27</v>
      </c>
      <c r="E4" s="2">
        <v>148</v>
      </c>
      <c r="F4" s="2" t="s">
        <v>51</v>
      </c>
      <c r="G4" s="37" t="s">
        <v>50</v>
      </c>
    </row>
    <row r="5" spans="1:7" x14ac:dyDescent="0.3">
      <c r="A5" s="2">
        <v>3</v>
      </c>
      <c r="B5" s="2" t="s">
        <v>98</v>
      </c>
      <c r="C5" s="2">
        <v>1</v>
      </c>
      <c r="D5" s="2">
        <v>48</v>
      </c>
      <c r="E5" s="2">
        <f>D5+40</f>
        <v>88</v>
      </c>
      <c r="F5" s="2" t="s">
        <v>124</v>
      </c>
      <c r="G5" s="37" t="s">
        <v>151</v>
      </c>
    </row>
    <row r="6" spans="1:7" x14ac:dyDescent="0.3">
      <c r="A6" s="2">
        <v>4</v>
      </c>
      <c r="B6" s="2" t="s">
        <v>107</v>
      </c>
      <c r="C6" s="2">
        <v>1</v>
      </c>
      <c r="D6" s="2">
        <v>468</v>
      </c>
      <c r="E6" s="2">
        <f>D6+40</f>
        <v>508</v>
      </c>
      <c r="F6" s="2" t="s">
        <v>111</v>
      </c>
      <c r="G6" s="37" t="s">
        <v>19</v>
      </c>
    </row>
    <row r="7" spans="1:7" x14ac:dyDescent="0.3">
      <c r="A7" s="2">
        <v>5</v>
      </c>
      <c r="B7" s="2" t="s">
        <v>125</v>
      </c>
      <c r="C7" s="2">
        <v>1</v>
      </c>
      <c r="D7" s="2">
        <v>70</v>
      </c>
      <c r="E7" s="2">
        <f>D7+38</f>
        <v>108</v>
      </c>
      <c r="F7" s="2" t="s">
        <v>156</v>
      </c>
      <c r="G7" s="37" t="s">
        <v>155</v>
      </c>
    </row>
    <row r="8" spans="1:7" x14ac:dyDescent="0.3">
      <c r="A8" s="2">
        <v>6</v>
      </c>
      <c r="B8" s="2" t="s">
        <v>113</v>
      </c>
      <c r="C8" s="2">
        <v>1</v>
      </c>
      <c r="D8" s="2">
        <f>166+169+169</f>
        <v>504</v>
      </c>
      <c r="E8" s="54">
        <f>D8+D9+38</f>
        <v>610</v>
      </c>
      <c r="F8" s="2" t="s">
        <v>140</v>
      </c>
      <c r="G8" s="37" t="s">
        <v>150</v>
      </c>
    </row>
    <row r="9" spans="1:7" x14ac:dyDescent="0.3">
      <c r="A9" s="2">
        <v>7</v>
      </c>
      <c r="B9" s="2" t="s">
        <v>138</v>
      </c>
      <c r="C9" s="2">
        <v>1</v>
      </c>
      <c r="D9" s="2">
        <v>68</v>
      </c>
      <c r="E9" s="55"/>
      <c r="F9" s="2" t="s">
        <v>139</v>
      </c>
      <c r="G9" s="37" t="s">
        <v>154</v>
      </c>
    </row>
    <row r="10" spans="1:7" x14ac:dyDescent="0.3">
      <c r="A10" s="2">
        <v>8</v>
      </c>
      <c r="B10" s="2" t="s">
        <v>141</v>
      </c>
      <c r="C10" s="2">
        <v>1</v>
      </c>
      <c r="D10" s="2">
        <v>64</v>
      </c>
      <c r="E10" s="2">
        <f>D10+38</f>
        <v>102</v>
      </c>
      <c r="F10" s="2" t="s">
        <v>18</v>
      </c>
      <c r="G10" s="37" t="s">
        <v>152</v>
      </c>
    </row>
    <row r="11" spans="1:7" x14ac:dyDescent="0.3">
      <c r="A11" s="2">
        <v>9</v>
      </c>
      <c r="B11" s="2" t="s">
        <v>130</v>
      </c>
      <c r="C11" s="2">
        <v>1</v>
      </c>
      <c r="D11" s="2">
        <v>66</v>
      </c>
      <c r="E11" s="2">
        <f>D11+40</f>
        <v>106</v>
      </c>
      <c r="F11" s="2" t="s">
        <v>142</v>
      </c>
      <c r="G11" s="37" t="s">
        <v>153</v>
      </c>
    </row>
    <row r="12" spans="1:7" x14ac:dyDescent="0.3">
      <c r="A12" s="43">
        <v>10</v>
      </c>
      <c r="B12" s="43" t="s">
        <v>165</v>
      </c>
      <c r="C12" s="43">
        <v>1</v>
      </c>
      <c r="D12" s="27">
        <v>74</v>
      </c>
      <c r="E12" s="27">
        <f>D12+38</f>
        <v>112</v>
      </c>
      <c r="F12" s="43" t="s">
        <v>18</v>
      </c>
      <c r="G12" s="37" t="s">
        <v>166</v>
      </c>
    </row>
    <row r="19" spans="1:7" x14ac:dyDescent="0.3">
      <c r="D19" t="s">
        <v>143</v>
      </c>
      <c r="E19">
        <f>SUM(E3:E13)</f>
        <v>1930</v>
      </c>
    </row>
    <row r="26" spans="1:7" x14ac:dyDescent="0.3">
      <c r="A26" t="s">
        <v>160</v>
      </c>
    </row>
    <row r="27" spans="1:7" x14ac:dyDescent="0.3">
      <c r="A27" s="2">
        <v>1</v>
      </c>
      <c r="B27" s="2" t="s">
        <v>122</v>
      </c>
      <c r="C27" s="2">
        <v>1</v>
      </c>
      <c r="D27" s="2">
        <v>239</v>
      </c>
      <c r="E27" s="2">
        <v>269</v>
      </c>
      <c r="F27" s="2" t="s">
        <v>18</v>
      </c>
      <c r="G27" s="37" t="s">
        <v>48</v>
      </c>
    </row>
  </sheetData>
  <mergeCells count="1">
    <mergeCell ref="E8:E9"/>
  </mergeCells>
  <hyperlinks>
    <hyperlink ref="G27" r:id="rId1" xr:uid="{D2FC49C8-05CC-47ED-BCF6-9D96E9942701}"/>
    <hyperlink ref="G4" r:id="rId2" xr:uid="{35AFD705-ACBC-4A07-A26B-A8A59E6F3AAC}"/>
    <hyperlink ref="G5" r:id="rId3" xr:uid="{F4194F14-90F1-420A-BC35-0368152BA4D0}"/>
    <hyperlink ref="G6" r:id="rId4" xr:uid="{C86BDC45-B621-4FE8-A88D-B37E08B978E9}"/>
    <hyperlink ref="G7" r:id="rId5" xr:uid="{D3F08C4D-B68B-444B-A2A8-52191DB58905}"/>
    <hyperlink ref="G8" r:id="rId6" xr:uid="{2EAE62F6-EBB0-4478-9BAE-90BD73E253D2}"/>
    <hyperlink ref="G9" r:id="rId7" xr:uid="{151D7C36-72F1-4355-967B-26BCF2CC295D}"/>
    <hyperlink ref="G10" r:id="rId8" xr:uid="{934278AD-0999-4496-8F46-AFBCAE2410AA}"/>
    <hyperlink ref="G11" r:id="rId9" xr:uid="{984CBBDC-41E6-4C5E-9C39-2782D43B70E3}"/>
    <hyperlink ref="G3" r:id="rId10" xr:uid="{A49B1D15-C43A-467C-BE2E-08C1EA8FC185}"/>
    <hyperlink ref="G12" r:id="rId11" xr:uid="{0424707F-368D-44F3-AAC7-6208FE5A93E3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2:E15"/>
  <sheetViews>
    <sheetView workbookViewId="0">
      <selection activeCell="B3" sqref="B3"/>
    </sheetView>
  </sheetViews>
  <sheetFormatPr defaultRowHeight="14.4" x14ac:dyDescent="0.3"/>
  <cols>
    <col min="2" max="2" width="14.5546875" customWidth="1"/>
    <col min="3" max="3" width="27.6640625" customWidth="1"/>
    <col min="4" max="4" width="8.44140625" customWidth="1"/>
    <col min="5" max="5" width="22.77734375" customWidth="1"/>
  </cols>
  <sheetData>
    <row r="2" spans="2:5" x14ac:dyDescent="0.3">
      <c r="B2" t="s">
        <v>157</v>
      </c>
    </row>
    <row r="3" spans="2:5" x14ac:dyDescent="0.3">
      <c r="B3" s="38" t="s">
        <v>94</v>
      </c>
      <c r="C3" s="38" t="s">
        <v>95</v>
      </c>
      <c r="D3" s="38" t="s">
        <v>96</v>
      </c>
      <c r="E3" s="38" t="s">
        <v>97</v>
      </c>
    </row>
    <row r="4" spans="2:5" ht="33.6" customHeight="1" x14ac:dyDescent="0.3">
      <c r="B4" s="2" t="s">
        <v>98</v>
      </c>
      <c r="C4" s="2" t="s">
        <v>108</v>
      </c>
      <c r="D4" s="39" t="s">
        <v>99</v>
      </c>
      <c r="E4" s="11" t="s">
        <v>100</v>
      </c>
    </row>
    <row r="5" spans="2:5" ht="29.4" customHeight="1" x14ac:dyDescent="0.3">
      <c r="B5" s="2" t="s">
        <v>11</v>
      </c>
      <c r="C5" s="2" t="s">
        <v>102</v>
      </c>
      <c r="D5" s="2" t="s">
        <v>102</v>
      </c>
      <c r="E5" s="40" t="s">
        <v>112</v>
      </c>
    </row>
    <row r="6" spans="2:5" ht="18" customHeight="1" x14ac:dyDescent="0.3">
      <c r="B6" s="2" t="s">
        <v>101</v>
      </c>
      <c r="C6" s="2" t="s">
        <v>102</v>
      </c>
      <c r="D6" s="2" t="s">
        <v>102</v>
      </c>
      <c r="E6" s="29" t="s">
        <v>102</v>
      </c>
    </row>
    <row r="7" spans="2:5" ht="28.8" customHeight="1" x14ac:dyDescent="0.3">
      <c r="B7" s="2" t="s">
        <v>103</v>
      </c>
      <c r="C7" s="2" t="s">
        <v>102</v>
      </c>
      <c r="D7" s="2" t="s">
        <v>102</v>
      </c>
      <c r="E7" s="29" t="s">
        <v>102</v>
      </c>
    </row>
    <row r="8" spans="2:5" ht="18" customHeight="1" x14ac:dyDescent="0.3">
      <c r="B8" s="2" t="s">
        <v>106</v>
      </c>
      <c r="C8" s="2" t="s">
        <v>110</v>
      </c>
      <c r="D8" s="2" t="s">
        <v>18</v>
      </c>
      <c r="E8" s="29" t="s">
        <v>18</v>
      </c>
    </row>
    <row r="9" spans="2:5" ht="12.6" customHeight="1" x14ac:dyDescent="0.3">
      <c r="B9" s="2" t="s">
        <v>107</v>
      </c>
      <c r="C9" s="2" t="s">
        <v>111</v>
      </c>
      <c r="D9" s="2"/>
      <c r="E9" s="11" t="s">
        <v>19</v>
      </c>
    </row>
    <row r="10" spans="2:5" ht="12.6" customHeight="1" x14ac:dyDescent="0.3">
      <c r="B10" s="2" t="s">
        <v>12</v>
      </c>
      <c r="C10" s="2" t="s">
        <v>102</v>
      </c>
      <c r="D10" s="2" t="s">
        <v>102</v>
      </c>
      <c r="E10" s="29" t="s">
        <v>102</v>
      </c>
    </row>
    <row r="11" spans="2:5" ht="12.6" customHeight="1" x14ac:dyDescent="0.3">
      <c r="B11" s="2" t="s">
        <v>109</v>
      </c>
      <c r="C11" s="2"/>
      <c r="D11" s="2"/>
      <c r="E11" s="11" t="s">
        <v>23</v>
      </c>
    </row>
    <row r="12" spans="2:5" ht="12.6" customHeight="1" x14ac:dyDescent="0.3">
      <c r="B12" s="2" t="s">
        <v>113</v>
      </c>
      <c r="C12" s="2" t="s">
        <v>149</v>
      </c>
      <c r="D12" s="2">
        <v>1</v>
      </c>
      <c r="E12" s="2"/>
    </row>
    <row r="13" spans="2:5" ht="12.6" customHeight="1" x14ac:dyDescent="0.3">
      <c r="B13" s="2" t="s">
        <v>14</v>
      </c>
      <c r="C13" s="2" t="s">
        <v>102</v>
      </c>
      <c r="D13" s="2" t="s">
        <v>102</v>
      </c>
      <c r="E13" s="11" t="s">
        <v>114</v>
      </c>
    </row>
    <row r="14" spans="2:5" x14ac:dyDescent="0.3">
      <c r="B14" s="2" t="s">
        <v>104</v>
      </c>
      <c r="C14" s="2" t="s">
        <v>102</v>
      </c>
      <c r="D14" s="2" t="s">
        <v>102</v>
      </c>
      <c r="E14" s="29" t="s">
        <v>102</v>
      </c>
    </row>
    <row r="15" spans="2:5" x14ac:dyDescent="0.3">
      <c r="B15" s="2" t="s">
        <v>105</v>
      </c>
      <c r="C15" s="2" t="s">
        <v>102</v>
      </c>
      <c r="D15" s="2" t="s">
        <v>102</v>
      </c>
      <c r="E15" s="29" t="s">
        <v>102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M6" sqref="M6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0" max="10" width="20.664062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52" t="s">
        <v>93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5:16" ht="43.2" customHeight="1" x14ac:dyDescent="0.3">
      <c r="E2" s="2" t="s">
        <v>36</v>
      </c>
      <c r="F2" s="7" t="s">
        <v>37</v>
      </c>
      <c r="G2" s="7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2" t="s">
        <v>44</v>
      </c>
      <c r="N2" s="7" t="s">
        <v>45</v>
      </c>
      <c r="O2" s="7" t="s">
        <v>46</v>
      </c>
      <c r="P2" s="8" t="s">
        <v>47</v>
      </c>
    </row>
    <row r="3" spans="5:16" ht="17.399999999999999" customHeight="1" x14ac:dyDescent="0.3">
      <c r="E3" s="9">
        <v>1</v>
      </c>
      <c r="F3" s="2">
        <f t="shared" ref="F3:F8" si="0">G3*(J3*I3)</f>
        <v>2400</v>
      </c>
      <c r="G3" s="2">
        <f>8*3*2</f>
        <v>48</v>
      </c>
      <c r="H3" s="10">
        <f>3*2*I3</f>
        <v>300</v>
      </c>
      <c r="I3" s="10">
        <v>50</v>
      </c>
      <c r="J3" s="10">
        <f t="shared" ref="J3:J8" si="1">IF(I3 &lt;8, 8/I3, IF(ROUND(($T$15)/(H3/10),0.1)=0,1,ROUND(($T$15)/(H3/10),0.1)))</f>
        <v>1</v>
      </c>
      <c r="K3" s="10">
        <v>239</v>
      </c>
      <c r="L3" s="10">
        <f>J3*K3</f>
        <v>239</v>
      </c>
      <c r="M3" s="11" t="s">
        <v>48</v>
      </c>
      <c r="N3" s="2" t="s">
        <v>18</v>
      </c>
      <c r="O3" s="2" t="s">
        <v>49</v>
      </c>
      <c r="P3" s="10" t="s">
        <v>91</v>
      </c>
    </row>
    <row r="4" spans="5:16" ht="17.399999999999999" customHeight="1" x14ac:dyDescent="0.3">
      <c r="E4" s="9">
        <v>2</v>
      </c>
      <c r="F4" s="2">
        <f t="shared" si="0"/>
        <v>3200</v>
      </c>
      <c r="G4" s="2">
        <f>20*2*10</f>
        <v>400</v>
      </c>
      <c r="H4" s="10">
        <f>20*10*I4</f>
        <v>200</v>
      </c>
      <c r="I4" s="10">
        <v>1</v>
      </c>
      <c r="J4" s="10">
        <f t="shared" si="1"/>
        <v>8</v>
      </c>
      <c r="K4" s="10">
        <v>27</v>
      </c>
      <c r="L4" s="10">
        <f>J4*K4</f>
        <v>216</v>
      </c>
      <c r="M4" s="11" t="s">
        <v>50</v>
      </c>
      <c r="N4" s="2" t="s">
        <v>51</v>
      </c>
      <c r="O4" s="2" t="s">
        <v>49</v>
      </c>
      <c r="P4" s="10" t="s">
        <v>91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10">
        <f>25.4*(25.4/2)*I5</f>
        <v>645.16</v>
      </c>
      <c r="I5" s="10">
        <v>2</v>
      </c>
      <c r="J5" s="10">
        <f t="shared" si="1"/>
        <v>4</v>
      </c>
      <c r="K5" s="10">
        <v>55</v>
      </c>
      <c r="L5" s="10">
        <f>J5*K5</f>
        <v>220</v>
      </c>
      <c r="M5" s="12" t="s">
        <v>52</v>
      </c>
      <c r="N5" s="2" t="s">
        <v>53</v>
      </c>
      <c r="O5" s="2" t="s">
        <v>54</v>
      </c>
      <c r="P5" s="10" t="s">
        <v>91</v>
      </c>
    </row>
    <row r="6" spans="5:16" x14ac:dyDescent="0.3">
      <c r="E6" s="9">
        <v>4</v>
      </c>
      <c r="F6" s="2">
        <f t="shared" si="0"/>
        <v>21205.750411731104</v>
      </c>
      <c r="G6" s="2">
        <f>(PI()*(15*15))*3</f>
        <v>2120.5750411731105</v>
      </c>
      <c r="H6" s="10">
        <f>I6*(PI()*15*15)</f>
        <v>7068.5834705770339</v>
      </c>
      <c r="I6" s="10">
        <v>10</v>
      </c>
      <c r="J6" s="10">
        <f t="shared" si="1"/>
        <v>1</v>
      </c>
      <c r="K6" s="10">
        <v>110</v>
      </c>
      <c r="L6" s="10">
        <f>J6*K6</f>
        <v>110</v>
      </c>
      <c r="M6" s="12" t="s">
        <v>52</v>
      </c>
      <c r="N6" s="2" t="s">
        <v>55</v>
      </c>
      <c r="O6" s="2" t="s">
        <v>54</v>
      </c>
      <c r="P6" s="10" t="s">
        <v>92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10">
        <f>40*20*I7</f>
        <v>800</v>
      </c>
      <c r="I7" s="10">
        <v>1</v>
      </c>
      <c r="J7" s="10">
        <f t="shared" si="1"/>
        <v>8</v>
      </c>
      <c r="K7" s="10">
        <v>45</v>
      </c>
      <c r="L7" s="10">
        <f t="shared" ref="L7:L8" si="2">J7*K7</f>
        <v>360</v>
      </c>
      <c r="M7" s="12" t="s">
        <v>52</v>
      </c>
      <c r="N7" s="2" t="s">
        <v>56</v>
      </c>
      <c r="O7" s="2" t="s">
        <v>54</v>
      </c>
      <c r="P7" s="10" t="s">
        <v>91</v>
      </c>
    </row>
    <row r="8" spans="5:16" x14ac:dyDescent="0.3">
      <c r="E8" s="9">
        <v>6</v>
      </c>
      <c r="F8" s="2">
        <f t="shared" si="0"/>
        <v>9600</v>
      </c>
      <c r="G8" s="2">
        <f>20*20*3</f>
        <v>1200</v>
      </c>
      <c r="H8" s="10">
        <f>20*20*I8</f>
        <v>400</v>
      </c>
      <c r="I8" s="10">
        <v>1</v>
      </c>
      <c r="J8" s="10">
        <f t="shared" si="1"/>
        <v>8</v>
      </c>
      <c r="K8" s="10">
        <v>69</v>
      </c>
      <c r="L8" s="10">
        <f t="shared" si="2"/>
        <v>552</v>
      </c>
      <c r="M8" s="12" t="s">
        <v>57</v>
      </c>
      <c r="N8" s="2" t="s">
        <v>18</v>
      </c>
      <c r="O8" s="2" t="s">
        <v>49</v>
      </c>
      <c r="P8" s="10" t="s">
        <v>91</v>
      </c>
    </row>
    <row r="10" spans="5:16" ht="15" thickBot="1" x14ac:dyDescent="0.35"/>
    <row r="11" spans="5:16" ht="15" thickBot="1" x14ac:dyDescent="0.35">
      <c r="E11" t="s">
        <v>58</v>
      </c>
      <c r="F11" t="s">
        <v>59</v>
      </c>
      <c r="L11" s="66" t="s">
        <v>60</v>
      </c>
      <c r="M11" s="67"/>
      <c r="N11" s="67"/>
      <c r="O11" s="67"/>
      <c r="P11" s="68"/>
    </row>
    <row r="12" spans="5:16" ht="15" thickBot="1" x14ac:dyDescent="0.35">
      <c r="E12" s="13"/>
      <c r="F12" s="14">
        <f>3*2</f>
        <v>6</v>
      </c>
      <c r="G12" s="15" t="s">
        <v>61</v>
      </c>
      <c r="L12" s="16"/>
      <c r="M12" s="17" t="s">
        <v>62</v>
      </c>
      <c r="N12" s="18" t="s">
        <v>63</v>
      </c>
      <c r="P12" s="19"/>
    </row>
    <row r="13" spans="5:16" ht="15" thickBot="1" x14ac:dyDescent="0.35">
      <c r="L13" s="16"/>
      <c r="M13" s="20" t="s">
        <v>64</v>
      </c>
      <c r="N13" s="21" t="s">
        <v>65</v>
      </c>
      <c r="O13" s="22" t="s">
        <v>66</v>
      </c>
      <c r="P13" s="23">
        <v>64</v>
      </c>
    </row>
    <row r="14" spans="5:16" ht="15" thickBot="1" x14ac:dyDescent="0.35">
      <c r="F14" t="s">
        <v>67</v>
      </c>
      <c r="L14" s="24" t="s">
        <v>68</v>
      </c>
      <c r="M14" s="25">
        <v>8</v>
      </c>
      <c r="N14" s="26" t="s">
        <v>69</v>
      </c>
      <c r="O14" s="22"/>
      <c r="P14" s="26" t="s">
        <v>70</v>
      </c>
    </row>
    <row r="15" spans="5:16" ht="15" thickBot="1" x14ac:dyDescent="0.35">
      <c r="F15" s="14">
        <f>6*50</f>
        <v>300</v>
      </c>
      <c r="G15" s="15" t="s">
        <v>71</v>
      </c>
      <c r="H15" s="27" t="s">
        <v>72</v>
      </c>
    </row>
    <row r="16" spans="5:16" x14ac:dyDescent="0.3">
      <c r="L16" s="69" t="s">
        <v>73</v>
      </c>
      <c r="M16" s="70"/>
    </row>
    <row r="17" spans="5:13" ht="43.2" x14ac:dyDescent="0.3">
      <c r="L17" s="28" t="s">
        <v>74</v>
      </c>
      <c r="M17" s="29" t="s">
        <v>75</v>
      </c>
    </row>
    <row r="18" spans="5:13" ht="28.8" x14ac:dyDescent="0.3">
      <c r="L18" s="30" t="s">
        <v>76</v>
      </c>
      <c r="M18" s="71" t="s">
        <v>77</v>
      </c>
    </row>
    <row r="19" spans="5:13" x14ac:dyDescent="0.3">
      <c r="L19" s="31" t="s">
        <v>78</v>
      </c>
      <c r="M19" s="71"/>
    </row>
    <row r="20" spans="5:13" x14ac:dyDescent="0.3">
      <c r="E20" t="s">
        <v>79</v>
      </c>
      <c r="F20" t="s">
        <v>80</v>
      </c>
    </row>
    <row r="21" spans="5:13" ht="15" thickBot="1" x14ac:dyDescent="0.35">
      <c r="F21">
        <f xml:space="preserve"> G6/10</f>
        <v>212.05750411731105</v>
      </c>
      <c r="G21" t="s">
        <v>81</v>
      </c>
      <c r="H21" t="s">
        <v>82</v>
      </c>
    </row>
    <row r="22" spans="5:13" ht="15" thickBot="1" x14ac:dyDescent="0.35">
      <c r="F22" s="14">
        <f>F21/3</f>
        <v>70.685834705770347</v>
      </c>
      <c r="G22" s="15" t="s">
        <v>83</v>
      </c>
      <c r="H22" t="s">
        <v>72</v>
      </c>
      <c r="I22" t="s">
        <v>84</v>
      </c>
    </row>
    <row r="24" spans="5:13" ht="15" thickBot="1" x14ac:dyDescent="0.35">
      <c r="F24" t="s">
        <v>85</v>
      </c>
    </row>
    <row r="25" spans="5:13" ht="15" thickBot="1" x14ac:dyDescent="0.35">
      <c r="F25" s="14">
        <f>F22*10</f>
        <v>706.85834705770344</v>
      </c>
      <c r="G25" s="15" t="s">
        <v>71</v>
      </c>
      <c r="H25" s="27" t="s">
        <v>72</v>
      </c>
    </row>
    <row r="28" spans="5:13" ht="15" thickBot="1" x14ac:dyDescent="0.35"/>
    <row r="29" spans="5:13" x14ac:dyDescent="0.3">
      <c r="E29" t="s">
        <v>86</v>
      </c>
      <c r="F29" s="32" t="s">
        <v>80</v>
      </c>
      <c r="G29" s="33"/>
    </row>
    <row r="30" spans="5:13" ht="15" thickBot="1" x14ac:dyDescent="0.35">
      <c r="F30" s="34">
        <f>20*20</f>
        <v>400</v>
      </c>
      <c r="G30" s="35" t="s">
        <v>83</v>
      </c>
    </row>
    <row r="32" spans="5:13" ht="15" thickBot="1" x14ac:dyDescent="0.35">
      <c r="F32" t="s">
        <v>87</v>
      </c>
    </row>
    <row r="33" spans="6:8" ht="15" thickBot="1" x14ac:dyDescent="0.35">
      <c r="F33" s="36" t="s">
        <v>88</v>
      </c>
      <c r="G33" s="15">
        <f>20*20</f>
        <v>400</v>
      </c>
      <c r="H33" t="s">
        <v>72</v>
      </c>
    </row>
    <row r="34" spans="6:8" x14ac:dyDescent="0.3">
      <c r="F34" t="s">
        <v>89</v>
      </c>
      <c r="G34">
        <v>3</v>
      </c>
    </row>
    <row r="35" spans="6:8" x14ac:dyDescent="0.3">
      <c r="F35" t="s">
        <v>90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guidelines</vt:lpstr>
      <vt:lpstr>Current Safety Calculation</vt:lpstr>
      <vt:lpstr>DOCUMENTS RELATED INFO</vt:lpstr>
      <vt:lpstr>Expenses</vt:lpstr>
      <vt:lpstr>Materials</vt:lpstr>
      <vt:lpstr>Materials - 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2023-10-09T16:06:58Z</dcterms:modified>
</cp:coreProperties>
</file>