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44A97773-7161-4518-A2F6-87333D51C2F8}" xr6:coauthVersionLast="47" xr6:coauthVersionMax="47" xr10:uidLastSave="{00000000-0000-0000-0000-000000000000}"/>
  <bookViews>
    <workbookView xWindow="-108" yWindow="-108" windowWidth="23256" windowHeight="12456" xr2:uid="{A0CABE93-1CAF-4178-A500-DBCC18B48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5" i="1" l="1"/>
  <c r="Z141" i="1"/>
  <c r="F135" i="1"/>
  <c r="F142" i="1"/>
  <c r="F140" i="1"/>
  <c r="F141" i="1"/>
  <c r="F134" i="1" s="1"/>
  <c r="F133" i="1"/>
  <c r="P146" i="1"/>
  <c r="P133" i="1"/>
  <c r="P132" i="1"/>
  <c r="AL132" i="1"/>
  <c r="AL133" i="1"/>
  <c r="F183" i="1"/>
  <c r="F132" i="1"/>
  <c r="F131" i="1" s="1"/>
  <c r="G154" i="1"/>
  <c r="J154" i="1" s="1"/>
  <c r="F178" i="1"/>
  <c r="P124" i="1"/>
  <c r="K155" i="1"/>
  <c r="F176" i="1"/>
  <c r="F175" i="1"/>
  <c r="G172" i="1"/>
  <c r="G171" i="1"/>
  <c r="F165" i="1"/>
  <c r="AM129" i="1"/>
  <c r="AM128" i="1"/>
  <c r="AM127" i="1"/>
  <c r="AL122" i="1"/>
  <c r="AP114" i="1"/>
  <c r="AM116" i="1" s="1"/>
  <c r="AP116" i="1" s="1"/>
  <c r="Q127" i="1"/>
  <c r="G128" i="1"/>
  <c r="Q128" i="1"/>
  <c r="T114" i="1"/>
  <c r="T117" i="1" s="1"/>
  <c r="Q129" i="1"/>
  <c r="P122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F136" i="1" l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T116" i="1" s="1"/>
  <c r="P125" i="1" s="1"/>
  <c r="P123" i="1" s="1"/>
  <c r="P137" i="1" l="1"/>
  <c r="P141" i="1" s="1"/>
  <c r="P144" i="1"/>
  <c r="P136" i="1" s="1"/>
  <c r="P145" i="1"/>
  <c r="P134" i="1" s="1"/>
  <c r="P131" i="1"/>
  <c r="AL138" i="1"/>
  <c r="AL134" i="1" s="1"/>
  <c r="AL137" i="1"/>
  <c r="G116" i="1"/>
  <c r="J116" i="1" s="1"/>
  <c r="F124" i="1" s="1"/>
  <c r="F125" i="1" s="1"/>
  <c r="F123" i="1" s="1"/>
  <c r="J153" i="1"/>
  <c r="F167" i="1" s="1"/>
  <c r="F189" i="1" s="1"/>
  <c r="F168" i="1" l="1"/>
  <c r="F166" i="1" s="1"/>
  <c r="F180" i="1" l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<sst xmlns="http://schemas.openxmlformats.org/spreadsheetml/2006/main" count="311" uniqueCount="152">
  <si>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</si>
  <si>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</si>
  <si>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</si>
  <si>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</si>
  <si>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</si>
  <si>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</si>
  <si>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</si>
  <si>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</si>
  <si>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</si>
  <si>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</si>
  <si>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</si>
  <si>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</si>
  <si>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</si>
  <si>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</si>
  <si>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</si>
  <si>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</si>
  <si>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</si>
  <si>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</si>
  <si>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</si>
  <si>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</si>
  <si>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</si>
  <si>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</si>
  <si>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</si>
  <si>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</si>
  <si>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</si>
  <si>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</si>
  <si>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</si>
  <si>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</si>
  <si>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</si>
  <si>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</si>
  <si>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</si>
  <si>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</si>
  <si>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</si>
  <si>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</si>
  <si>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</si>
  <si>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</si>
  <si>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</si>
  <si>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</si>
  <si>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</si>
  <si>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</si>
  <si>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</si>
  <si>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</si>
  <si>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</si>
  <si>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</si>
  <si>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</si>
  <si>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</si>
  <si>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</si>
  <si>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</si>
  <si>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</si>
  <si>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</si>
  <si>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</si>
  <si>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</si>
  <si>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</si>
  <si>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</si>
  <si>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</si>
  <si>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</si>
  <si>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</si>
  <si>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</si>
  <si>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</si>
  <si>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</si>
  <si>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</si>
  <si>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</si>
  <si>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</si>
  <si>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</si>
  <si>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</si>
  <si>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</si>
  <si>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</si>
  <si>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</si>
  <si>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</si>
  <si>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</si>
  <si>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</si>
  <si>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</si>
  <si>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</si>
  <si>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</si>
  <si>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</si>
  <si>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</si>
  <si>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</si>
  <si>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</si>
  <si>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</si>
  <si>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</si>
  <si>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</si>
  <si>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</si>
  <si>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</si>
  <si>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</si>
  <si>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</si>
  <si>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</si>
  <si>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</si>
  <si>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</si>
  <si>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</si>
  <si>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</si>
  <si>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</si>
  <si>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</si>
  <si>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</si>
  <si>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</si>
  <si>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</si>
  <si>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</si>
  <si>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</si>
  <si>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</si>
  <si>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</si>
  <si>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</si>
  <si>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</si>
  <si>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</si>
  <si>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</si>
  <si>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</si>
  <si>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</si>
  <si>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</si>
  <si>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</si>
  <si>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</si>
  <si>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</si>
  <si>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(self):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</si>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</sst>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2" Type="http://schemas.openxmlformats.org/officeDocument/2006/relationships/hyperlink" Target="https://www.rhydolabz.com/documents/26/BLDC_A2212_13T.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5" Type="http://schemas.openxmlformats.org/officeDocument/2006/relationships/hyperlink" Target="https://www.toppr.com/guides/physics-formulas/magnetic-field-strength-formula/" TargetMode="External"/><Relationship Id="rId4" Type="http://schemas.openxmlformats.org/officeDocument/2006/relationships/hyperlink" Target="https://shopee.ph/5-PCS-B10k-Rotary-Knob-type-10k-Ohm-Precision-Potentiometer-i.18252381.13228237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B35-6B67-4A34-9984-D13A8F00E275}">
  <dimension ref="C4:AP189"/>
  <sheetViews>
    <sheetView tabSelected="1" topLeftCell="A115" zoomScale="70" zoomScaleNormal="70" workbookViewId="0">
      <selection activeCell="P122" sqref="P122"/>
    </sheetView>
  </sheetViews>
  <sheetFormatPr defaultRowHeight="14.4" x14ac:dyDescent="0.3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</cols>
  <sheetData>
    <row r="4" spans="3:22" x14ac:dyDescent="0.3">
      <c r="C4" t="s">
        <v>17</v>
      </c>
    </row>
    <row r="5" spans="3:22" x14ac:dyDescent="0.3">
      <c r="D5" t="s">
        <v>25</v>
      </c>
    </row>
    <row r="6" spans="3:22" x14ac:dyDescent="0.3">
      <c r="D6" t="s">
        <v>18</v>
      </c>
      <c r="E6" t="s">
        <v>19</v>
      </c>
      <c r="G6" t="s">
        <v>20</v>
      </c>
      <c r="V6" s="1" t="s">
        <v>21</v>
      </c>
    </row>
    <row r="19" spans="3:6" x14ac:dyDescent="0.3">
      <c r="C19" t="s">
        <v>0</v>
      </c>
    </row>
    <row r="21" spans="3:6" x14ac:dyDescent="0.3">
      <c r="C21" t="s">
        <v>8</v>
      </c>
      <c r="D21" t="s">
        <v>9</v>
      </c>
    </row>
    <row r="22" spans="3:6" x14ac:dyDescent="0.3">
      <c r="C22" t="s">
        <v>13</v>
      </c>
      <c r="D22" t="s">
        <v>14</v>
      </c>
    </row>
    <row r="23" spans="3:6" x14ac:dyDescent="0.3">
      <c r="C23" t="s">
        <v>1</v>
      </c>
      <c r="D23" t="s">
        <v>10</v>
      </c>
    </row>
    <row r="24" spans="3:6" x14ac:dyDescent="0.3">
      <c r="D24" t="s">
        <v>15</v>
      </c>
    </row>
    <row r="25" spans="3:6" x14ac:dyDescent="0.3">
      <c r="D25" t="s">
        <v>16</v>
      </c>
    </row>
    <row r="28" spans="3:6" x14ac:dyDescent="0.3">
      <c r="C28" t="s">
        <v>2</v>
      </c>
    </row>
    <row r="29" spans="3:6" x14ac:dyDescent="0.3">
      <c r="D29" t="s">
        <v>3</v>
      </c>
    </row>
    <row r="30" spans="3:6" x14ac:dyDescent="0.3">
      <c r="E30">
        <v>1</v>
      </c>
      <c r="F30" t="s">
        <v>4</v>
      </c>
    </row>
    <row r="31" spans="3:6" x14ac:dyDescent="0.3">
      <c r="E31">
        <v>2</v>
      </c>
      <c r="F31" t="s">
        <v>5</v>
      </c>
    </row>
    <row r="32" spans="3:6" x14ac:dyDescent="0.3">
      <c r="E32">
        <v>3</v>
      </c>
      <c r="F32" t="s">
        <v>22</v>
      </c>
    </row>
    <row r="33" spans="3:11" x14ac:dyDescent="0.3">
      <c r="E33">
        <v>4</v>
      </c>
      <c r="F33" t="s">
        <v>6</v>
      </c>
    </row>
    <row r="35" spans="3:11" x14ac:dyDescent="0.3">
      <c r="D35" t="s">
        <v>7</v>
      </c>
    </row>
    <row r="36" spans="3:11" x14ac:dyDescent="0.3">
      <c r="E36" t="s">
        <v>11</v>
      </c>
      <c r="F36">
        <v>1</v>
      </c>
      <c r="G36" t="s">
        <v>24</v>
      </c>
    </row>
    <row r="37" spans="3:11" x14ac:dyDescent="0.3">
      <c r="E37" t="s">
        <v>12</v>
      </c>
      <c r="F37">
        <v>0.15240000000000001</v>
      </c>
      <c r="G37" t="s">
        <v>23</v>
      </c>
    </row>
    <row r="38" spans="3:11" x14ac:dyDescent="0.3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 x14ac:dyDescent="0.3">
      <c r="E39" t="s">
        <v>28</v>
      </c>
      <c r="F39">
        <f>(H38-0)/1-0</f>
        <v>2.0943951023931953</v>
      </c>
    </row>
    <row r="44" spans="3:11" x14ac:dyDescent="0.3">
      <c r="C44" s="8" t="s">
        <v>50</v>
      </c>
    </row>
    <row r="45" spans="3:11" x14ac:dyDescent="0.3">
      <c r="C45" t="s">
        <v>48</v>
      </c>
      <c r="D45" s="1" t="s">
        <v>49</v>
      </c>
    </row>
    <row r="46" spans="3:11" x14ac:dyDescent="0.3">
      <c r="C46" t="s">
        <v>29</v>
      </c>
      <c r="H46" t="s">
        <v>31</v>
      </c>
      <c r="I46">
        <f xml:space="preserve"> 0.18</f>
        <v>0.18</v>
      </c>
    </row>
    <row r="47" spans="3:11" x14ac:dyDescent="0.3">
      <c r="C47" t="s">
        <v>55</v>
      </c>
      <c r="H47" t="s">
        <v>32</v>
      </c>
      <c r="I47">
        <f>I46/2</f>
        <v>0.09</v>
      </c>
    </row>
    <row r="48" spans="3:11" x14ac:dyDescent="0.3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 x14ac:dyDescent="0.3">
      <c r="C49" t="s">
        <v>34</v>
      </c>
      <c r="H49" t="s">
        <v>31</v>
      </c>
      <c r="I49">
        <v>0.55000000000000004</v>
      </c>
      <c r="K49" t="s">
        <v>51</v>
      </c>
    </row>
    <row r="50" spans="3:11" x14ac:dyDescent="0.3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 x14ac:dyDescent="0.3">
      <c r="C52" t="s">
        <v>36</v>
      </c>
    </row>
    <row r="53" spans="3:11" x14ac:dyDescent="0.3">
      <c r="D53" t="s">
        <v>37</v>
      </c>
      <c r="H53" t="s">
        <v>30</v>
      </c>
      <c r="I53">
        <v>0.2</v>
      </c>
      <c r="J53" t="s">
        <v>38</v>
      </c>
    </row>
    <row r="54" spans="3:11" x14ac:dyDescent="0.3">
      <c r="D54" t="s">
        <v>39</v>
      </c>
      <c r="H54" t="s">
        <v>30</v>
      </c>
      <c r="I54" t="s">
        <v>40</v>
      </c>
      <c r="J54" t="s">
        <v>23</v>
      </c>
    </row>
    <row r="55" spans="3:11" x14ac:dyDescent="0.3">
      <c r="D55" t="s">
        <v>41</v>
      </c>
      <c r="H55" t="s">
        <v>30</v>
      </c>
      <c r="I55">
        <f>1.742*10^-8</f>
        <v>1.742E-8</v>
      </c>
    </row>
    <row r="56" spans="3:11" ht="15" thickBot="1" x14ac:dyDescent="0.35">
      <c r="D56" t="s">
        <v>42</v>
      </c>
      <c r="H56" t="s">
        <v>30</v>
      </c>
      <c r="I56">
        <f>I47</f>
        <v>0.09</v>
      </c>
      <c r="J56" t="s">
        <v>43</v>
      </c>
    </row>
    <row r="57" spans="3:11" ht="43.2" x14ac:dyDescent="0.3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 x14ac:dyDescent="0.35">
      <c r="C58" s="5" t="s">
        <v>47</v>
      </c>
      <c r="D58" s="6"/>
      <c r="E58" s="6"/>
      <c r="F58" s="6"/>
      <c r="G58" s="6"/>
      <c r="H58" s="6"/>
      <c r="I58" s="6"/>
      <c r="J58" s="7"/>
    </row>
    <row r="64" spans="3:11" x14ac:dyDescent="0.3">
      <c r="C64" s="8" t="s">
        <v>53</v>
      </c>
    </row>
    <row r="65" spans="3:11" x14ac:dyDescent="0.3">
      <c r="C65" t="s">
        <v>54</v>
      </c>
      <c r="H65" t="s">
        <v>31</v>
      </c>
      <c r="I65">
        <v>10</v>
      </c>
    </row>
    <row r="66" spans="3:11" x14ac:dyDescent="0.3">
      <c r="C66" t="s">
        <v>55</v>
      </c>
      <c r="H66" t="s">
        <v>31</v>
      </c>
      <c r="I66">
        <v>5</v>
      </c>
    </row>
    <row r="67" spans="3:11" x14ac:dyDescent="0.3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 x14ac:dyDescent="0.3">
      <c r="C68" t="s">
        <v>34</v>
      </c>
      <c r="H68" t="s">
        <v>31</v>
      </c>
      <c r="I68">
        <v>0.37</v>
      </c>
      <c r="K68" t="s">
        <v>51</v>
      </c>
    </row>
    <row r="69" spans="3:11" x14ac:dyDescent="0.3">
      <c r="C69" t="s">
        <v>35</v>
      </c>
      <c r="H69" t="s">
        <v>31</v>
      </c>
      <c r="I69" t="s">
        <v>56</v>
      </c>
    </row>
    <row r="75" spans="3:11" x14ac:dyDescent="0.3">
      <c r="C75" s="8" t="s">
        <v>44</v>
      </c>
      <c r="D75" s="8" t="s">
        <v>45</v>
      </c>
    </row>
    <row r="77" spans="3:11" x14ac:dyDescent="0.3">
      <c r="D77" t="s">
        <v>58</v>
      </c>
    </row>
    <row r="78" spans="3:11" x14ac:dyDescent="0.3">
      <c r="D78" t="s">
        <v>57</v>
      </c>
    </row>
    <row r="80" spans="3:11" x14ac:dyDescent="0.3">
      <c r="D80" t="s">
        <v>59</v>
      </c>
    </row>
    <row r="81" spans="4:8" x14ac:dyDescent="0.3">
      <c r="D81" t="s">
        <v>60</v>
      </c>
    </row>
    <row r="83" spans="4:8" x14ac:dyDescent="0.3">
      <c r="D83" t="s">
        <v>70</v>
      </c>
    </row>
    <row r="84" spans="4:8" x14ac:dyDescent="0.3">
      <c r="D84" t="s">
        <v>61</v>
      </c>
    </row>
    <row r="86" spans="4:8" x14ac:dyDescent="0.3">
      <c r="E86" t="s">
        <v>62</v>
      </c>
      <c r="F86" t="s">
        <v>65</v>
      </c>
      <c r="G86" t="s">
        <v>66</v>
      </c>
      <c r="H86" t="s">
        <v>67</v>
      </c>
    </row>
    <row r="87" spans="4:8" x14ac:dyDescent="0.3">
      <c r="E87" s="1" t="s">
        <v>63</v>
      </c>
      <c r="F87" t="s">
        <v>64</v>
      </c>
      <c r="G87">
        <v>4</v>
      </c>
      <c r="H87">
        <f>27*G87+40</f>
        <v>148</v>
      </c>
    </row>
    <row r="88" spans="4:8" x14ac:dyDescent="0.3">
      <c r="E88" s="1" t="s">
        <v>68</v>
      </c>
      <c r="F88" t="s">
        <v>69</v>
      </c>
      <c r="G88">
        <v>1</v>
      </c>
      <c r="H88">
        <f>70*G88+38</f>
        <v>108</v>
      </c>
    </row>
    <row r="91" spans="4:8" x14ac:dyDescent="0.3">
      <c r="D91" t="s">
        <v>71</v>
      </c>
    </row>
    <row r="92" spans="4:8" x14ac:dyDescent="0.3">
      <c r="D92" t="s">
        <v>72</v>
      </c>
    </row>
    <row r="94" spans="4:8" x14ac:dyDescent="0.3">
      <c r="D94" t="s">
        <v>73</v>
      </c>
    </row>
    <row r="95" spans="4:8" x14ac:dyDescent="0.3">
      <c r="D95" t="s">
        <v>74</v>
      </c>
    </row>
    <row r="96" spans="4:8" x14ac:dyDescent="0.3">
      <c r="E96" t="s">
        <v>65</v>
      </c>
      <c r="F96" t="s">
        <v>75</v>
      </c>
    </row>
    <row r="98" spans="3:37" x14ac:dyDescent="0.3">
      <c r="C98" s="20" t="s">
        <v>122</v>
      </c>
      <c r="D98" s="1" t="s">
        <v>121</v>
      </c>
    </row>
    <row r="99" spans="3:37" x14ac:dyDescent="0.3">
      <c r="C99" s="20"/>
    </row>
    <row r="102" spans="3:37" x14ac:dyDescent="0.3">
      <c r="C102" t="s">
        <v>76</v>
      </c>
    </row>
    <row r="103" spans="3:37" x14ac:dyDescent="0.3">
      <c r="D103" t="s">
        <v>77</v>
      </c>
    </row>
    <row r="104" spans="3:37" x14ac:dyDescent="0.3">
      <c r="D104">
        <v>1</v>
      </c>
      <c r="E104" t="s">
        <v>78</v>
      </c>
    </row>
    <row r="105" spans="3:37" x14ac:dyDescent="0.3">
      <c r="D105">
        <v>2</v>
      </c>
    </row>
    <row r="111" spans="3:37" ht="15" thickBot="1" x14ac:dyDescent="0.35">
      <c r="C111" t="s">
        <v>102</v>
      </c>
      <c r="M111" t="s">
        <v>103</v>
      </c>
      <c r="AI111" t="s">
        <v>110</v>
      </c>
    </row>
    <row r="112" spans="3:37" ht="15" thickBot="1" x14ac:dyDescent="0.35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</row>
    <row r="113" spans="5:42" x14ac:dyDescent="0.3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</row>
    <row r="114" spans="5:42" x14ac:dyDescent="0.3">
      <c r="E114" s="21" t="s">
        <v>84</v>
      </c>
      <c r="F114" s="21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1" t="s">
        <v>84</v>
      </c>
      <c r="P114" s="21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1" t="s">
        <v>84</v>
      </c>
      <c r="AL114" s="21"/>
      <c r="AM114" s="12">
        <v>5</v>
      </c>
      <c r="AN114" s="13">
        <v>0.5</v>
      </c>
      <c r="AO114" s="12">
        <v>1.4</v>
      </c>
      <c r="AP114" s="12">
        <f>(AN114*2)+(AO114*2)</f>
        <v>3.8</v>
      </c>
    </row>
    <row r="115" spans="5:42" ht="15" thickBot="1" x14ac:dyDescent="0.35">
      <c r="E115" s="21" t="s">
        <v>85</v>
      </c>
      <c r="F115" s="21"/>
      <c r="G115" s="12">
        <v>100</v>
      </c>
      <c r="O115" s="21" t="s">
        <v>107</v>
      </c>
      <c r="P115" s="21"/>
      <c r="Q115" s="12">
        <v>13</v>
      </c>
      <c r="AK115" s="21" t="s">
        <v>107</v>
      </c>
      <c r="AL115" s="21"/>
      <c r="AM115" s="12">
        <v>13</v>
      </c>
    </row>
    <row r="116" spans="5:42" ht="15" thickBot="1" x14ac:dyDescent="0.35">
      <c r="E116" s="21" t="s">
        <v>88</v>
      </c>
      <c r="F116" s="21"/>
      <c r="G116" s="12">
        <f>K114*G115</f>
        <v>6628.3185307179592</v>
      </c>
      <c r="I116" s="9" t="s">
        <v>87</v>
      </c>
      <c r="J116" s="10">
        <f>G116/1000</f>
        <v>6.6283185307179595</v>
      </c>
      <c r="O116" s="21" t="s">
        <v>88</v>
      </c>
      <c r="P116" s="21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1" t="s">
        <v>88</v>
      </c>
      <c r="AL116" s="21"/>
      <c r="AM116" s="12">
        <f>AP114*AM115*(AM117/AM118)</f>
        <v>197.6</v>
      </c>
      <c r="AO116" s="9" t="s">
        <v>87</v>
      </c>
      <c r="AP116" s="10">
        <f>AM116/1000</f>
        <v>0.1976</v>
      </c>
    </row>
    <row r="117" spans="5:42" x14ac:dyDescent="0.3">
      <c r="E117" t="s">
        <v>106</v>
      </c>
      <c r="G117">
        <v>3</v>
      </c>
      <c r="I117" t="s">
        <v>123</v>
      </c>
      <c r="J117">
        <f>K114/(2*PI())</f>
        <v>10.549296585513721</v>
      </c>
      <c r="O117" s="21" t="s">
        <v>106</v>
      </c>
      <c r="P117" s="21"/>
      <c r="Q117">
        <v>12</v>
      </c>
      <c r="S117" t="s">
        <v>123</v>
      </c>
      <c r="T117">
        <f>T114/(2*PI())</f>
        <v>0.62388737692022977</v>
      </c>
      <c r="AK117" s="21" t="s">
        <v>106</v>
      </c>
      <c r="AL117" s="21"/>
      <c r="AM117">
        <v>12</v>
      </c>
      <c r="AO117" t="s">
        <v>123</v>
      </c>
      <c r="AP117">
        <f>AP114/(2*PI())</f>
        <v>0.60478878374920231</v>
      </c>
    </row>
    <row r="118" spans="5:42" x14ac:dyDescent="0.3">
      <c r="E118" t="s">
        <v>105</v>
      </c>
      <c r="G118">
        <v>3</v>
      </c>
      <c r="O118" s="21" t="s">
        <v>105</v>
      </c>
      <c r="P118" s="21"/>
      <c r="Q118">
        <v>3</v>
      </c>
      <c r="AK118" s="21" t="s">
        <v>105</v>
      </c>
      <c r="AL118" s="21"/>
      <c r="AM118">
        <v>3</v>
      </c>
    </row>
    <row r="119" spans="5:42" x14ac:dyDescent="0.3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42" x14ac:dyDescent="0.3">
      <c r="E120" s="12" t="s">
        <v>94</v>
      </c>
      <c r="F120">
        <v>12</v>
      </c>
      <c r="G120" t="s">
        <v>97</v>
      </c>
      <c r="O120" s="12" t="s">
        <v>94</v>
      </c>
      <c r="P120">
        <v>11.82</v>
      </c>
      <c r="AK120" s="12" t="s">
        <v>94</v>
      </c>
      <c r="AL120">
        <v>12</v>
      </c>
      <c r="AM120" t="s">
        <v>97</v>
      </c>
    </row>
    <row r="121" spans="5:42" x14ac:dyDescent="0.3">
      <c r="E121" s="12" t="s">
        <v>35</v>
      </c>
      <c r="F121">
        <v>1.4</v>
      </c>
      <c r="G121" t="s">
        <v>97</v>
      </c>
      <c r="O121" s="12" t="s">
        <v>35</v>
      </c>
      <c r="P121">
        <v>1.02</v>
      </c>
      <c r="Q121">
        <v>3.9</v>
      </c>
      <c r="AK121" s="12" t="s">
        <v>35</v>
      </c>
      <c r="AL121">
        <v>2</v>
      </c>
      <c r="AM121" t="s">
        <v>97</v>
      </c>
    </row>
    <row r="122" spans="5:42" x14ac:dyDescent="0.3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10.8</v>
      </c>
      <c r="AK122" s="12" t="s">
        <v>93</v>
      </c>
      <c r="AL122">
        <f>AL120-AL121</f>
        <v>10</v>
      </c>
      <c r="AM122" t="s">
        <v>97</v>
      </c>
    </row>
    <row r="123" spans="5:42" x14ac:dyDescent="0.3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f>P122/(P125)</f>
        <v>48.274408415797438</v>
      </c>
      <c r="AK123" s="12" t="s">
        <v>89</v>
      </c>
      <c r="AL123">
        <f>AL122/(AL125)</f>
        <v>46.110058720742195</v>
      </c>
      <c r="AM123" t="s">
        <v>97</v>
      </c>
    </row>
    <row r="124" spans="5:42" x14ac:dyDescent="0.3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42" x14ac:dyDescent="0.3">
      <c r="E125" s="19" t="s">
        <v>111</v>
      </c>
      <c r="F125">
        <f>F124*F119</f>
        <v>0.35139692913272613</v>
      </c>
      <c r="O125" s="19" t="s">
        <v>111</v>
      </c>
      <c r="P125">
        <f>P124*P119</f>
        <v>0.22372102226457904</v>
      </c>
      <c r="AK125" s="19" t="s">
        <v>111</v>
      </c>
      <c r="AL125">
        <f>AL124*AL119</f>
        <v>0.21687241954219394</v>
      </c>
    </row>
    <row r="127" spans="5:42" x14ac:dyDescent="0.3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</row>
    <row r="128" spans="5:42" x14ac:dyDescent="0.3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</row>
    <row r="129" spans="5:42" x14ac:dyDescent="0.3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</row>
    <row r="131" spans="5:42" x14ac:dyDescent="0.3">
      <c r="E131" t="s">
        <v>95</v>
      </c>
      <c r="F131">
        <f>F132*F137*F133*F123</f>
        <v>0.21059364538899625</v>
      </c>
      <c r="J131" t="s">
        <v>129</v>
      </c>
      <c r="O131" t="s">
        <v>95</v>
      </c>
      <c r="P131" t="e">
        <f>P132*P138*P133*P123</f>
        <v>#DIV/0!</v>
      </c>
      <c r="T131" t="s">
        <v>129</v>
      </c>
      <c r="W131" s="1" t="s">
        <v>118</v>
      </c>
      <c r="AK131" t="s">
        <v>95</v>
      </c>
      <c r="AL131">
        <f>AL132*AL133*AL123</f>
        <v>0.15065338260302477</v>
      </c>
      <c r="AP131" t="s">
        <v>114</v>
      </c>
    </row>
    <row r="132" spans="5:42" x14ac:dyDescent="0.3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</row>
    <row r="133" spans="5:42" x14ac:dyDescent="0.3">
      <c r="E133" t="s">
        <v>113</v>
      </c>
      <c r="F133">
        <f>(G115/(G114/1000))</f>
        <v>5555.5555555555557</v>
      </c>
      <c r="J133" t="s">
        <v>120</v>
      </c>
      <c r="O133" t="s">
        <v>113</v>
      </c>
      <c r="P133" t="e">
        <f>(Q109/(Q108/1000))</f>
        <v>#DIV/0!</v>
      </c>
      <c r="T133" t="s">
        <v>120</v>
      </c>
      <c r="AK133" t="s">
        <v>113</v>
      </c>
      <c r="AL133">
        <f>(AM115/(AM114/1000))</f>
        <v>2600</v>
      </c>
      <c r="AP133" t="s">
        <v>120</v>
      </c>
    </row>
    <row r="134" spans="5:42" x14ac:dyDescent="0.3">
      <c r="E134" t="s">
        <v>126</v>
      </c>
      <c r="F134">
        <f>F132*F137*F141</f>
        <v>0.35933065169551659</v>
      </c>
      <c r="J134" t="s">
        <v>127</v>
      </c>
      <c r="O134" t="s">
        <v>126</v>
      </c>
      <c r="P134" t="e">
        <f>P132*P138*P145</f>
        <v>#DIV/0!</v>
      </c>
      <c r="T134" t="s">
        <v>127</v>
      </c>
      <c r="AK134" t="s">
        <v>126</v>
      </c>
      <c r="AL134">
        <f>AL132*AL135*AL138</f>
        <v>0.12455041053266182</v>
      </c>
      <c r="AP134" t="s">
        <v>127</v>
      </c>
    </row>
    <row r="135" spans="5:42" x14ac:dyDescent="0.3">
      <c r="E135" t="s">
        <v>134</v>
      </c>
      <c r="F135">
        <f>F132*F137*(G114*10^-3)</f>
        <v>2.2619467105846513E-8</v>
      </c>
      <c r="J135" t="s">
        <v>135</v>
      </c>
      <c r="O135" t="s">
        <v>134</v>
      </c>
      <c r="P135">
        <f>P132*P138*(Q108*10^-3)</f>
        <v>0</v>
      </c>
      <c r="T135" t="s">
        <v>135</v>
      </c>
      <c r="AK135" t="s">
        <v>128</v>
      </c>
      <c r="AL135">
        <v>1</v>
      </c>
    </row>
    <row r="136" spans="5:42" x14ac:dyDescent="0.3">
      <c r="E136" t="s">
        <v>136</v>
      </c>
      <c r="F136">
        <f>F132*F137*F140</f>
        <v>5.7189249421773602E-4</v>
      </c>
      <c r="J136" t="s">
        <v>137</v>
      </c>
      <c r="O136" t="s">
        <v>136</v>
      </c>
      <c r="P136" t="e">
        <f>P132*P138*P144</f>
        <v>#VALUE!</v>
      </c>
      <c r="T136" t="s">
        <v>137</v>
      </c>
      <c r="U136" t="s">
        <v>143</v>
      </c>
    </row>
    <row r="137" spans="5:42" x14ac:dyDescent="0.3">
      <c r="E137" t="s">
        <v>128</v>
      </c>
      <c r="F137">
        <v>1</v>
      </c>
      <c r="O137" t="s">
        <v>144</v>
      </c>
      <c r="P137">
        <f>P132*P138*((Q115*P123)/(Q114/1000))</f>
        <v>157.72486790888101</v>
      </c>
      <c r="T137" t="s">
        <v>146</v>
      </c>
      <c r="U137" t="s">
        <v>145</v>
      </c>
      <c r="AK137" t="s">
        <v>117</v>
      </c>
      <c r="AL137">
        <f>AM115*AL123/AP116</f>
        <v>3033.5564947856706</v>
      </c>
    </row>
    <row r="138" spans="5:42" x14ac:dyDescent="0.3">
      <c r="O138" t="s">
        <v>128</v>
      </c>
      <c r="P138">
        <v>1000</v>
      </c>
      <c r="AK138" t="s">
        <v>125</v>
      </c>
      <c r="AL138">
        <f>AM115*AL123/(AP117*10^-2)</f>
        <v>99114.067501989965</v>
      </c>
      <c r="AP138" t="s">
        <v>124</v>
      </c>
    </row>
    <row r="140" spans="5:42" x14ac:dyDescent="0.3">
      <c r="E140" t="s">
        <v>117</v>
      </c>
      <c r="F140">
        <f>G115*F123/J116</f>
        <v>455.09758685952926</v>
      </c>
      <c r="J140" t="s">
        <v>131</v>
      </c>
    </row>
    <row r="141" spans="5:42" x14ac:dyDescent="0.3">
      <c r="E141" t="s">
        <v>125</v>
      </c>
      <c r="F141">
        <f>G115*F123/(J117*10^-3)</f>
        <v>285946.24710886803</v>
      </c>
      <c r="J141" t="s">
        <v>142</v>
      </c>
      <c r="O141" t="s">
        <v>147</v>
      </c>
      <c r="P141">
        <f>((P137^2)*Z141)/(2*P138*P132)</f>
        <v>0.31096417446092456</v>
      </c>
      <c r="T141" t="s">
        <v>150</v>
      </c>
      <c r="X141" t="s">
        <v>148</v>
      </c>
      <c r="Y141" t="s">
        <v>149</v>
      </c>
      <c r="Z141">
        <f>PI()*(Q127/2000)^2</f>
        <v>3.1415926535897931E-8</v>
      </c>
    </row>
    <row r="142" spans="5:42" x14ac:dyDescent="0.3">
      <c r="E142" t="s">
        <v>132</v>
      </c>
      <c r="F142">
        <f>G116*F124/(G114*10^-3)</f>
        <v>64699.188250217609</v>
      </c>
      <c r="J142" t="s">
        <v>133</v>
      </c>
    </row>
    <row r="144" spans="5:42" x14ac:dyDescent="0.3">
      <c r="O144" t="s">
        <v>117</v>
      </c>
      <c r="P144" t="e">
        <f>Q109*(Q113/Q114)*P123/T111</f>
        <v>#VALUE!</v>
      </c>
      <c r="T144" t="s">
        <v>131</v>
      </c>
    </row>
    <row r="145" spans="3:20" x14ac:dyDescent="0.3">
      <c r="O145" t="s">
        <v>125</v>
      </c>
      <c r="P145" t="e">
        <f>Q109*P123/(T112*10^-3)</f>
        <v>#DIV/0!</v>
      </c>
      <c r="T145" t="s">
        <v>142</v>
      </c>
    </row>
    <row r="146" spans="3:20" x14ac:dyDescent="0.3">
      <c r="O146" t="s">
        <v>132</v>
      </c>
      <c r="P146" t="e">
        <f>Q111*P124/(Q108*10^-3)</f>
        <v>#DIV/0!</v>
      </c>
      <c r="T146" t="s">
        <v>133</v>
      </c>
    </row>
    <row r="148" spans="3:20" ht="15" thickBot="1" x14ac:dyDescent="0.35">
      <c r="C148" t="s">
        <v>109</v>
      </c>
    </row>
    <row r="149" spans="3:20" ht="15" thickBot="1" x14ac:dyDescent="0.35">
      <c r="D149" t="s">
        <v>79</v>
      </c>
      <c r="E149" s="11" t="s">
        <v>86</v>
      </c>
    </row>
    <row r="150" spans="3:20" x14ac:dyDescent="0.3">
      <c r="G150" s="14" t="s">
        <v>80</v>
      </c>
      <c r="H150" s="12" t="s">
        <v>81</v>
      </c>
      <c r="I150" s="12" t="s">
        <v>82</v>
      </c>
      <c r="J150" s="12" t="s">
        <v>83</v>
      </c>
    </row>
    <row r="151" spans="3:20" x14ac:dyDescent="0.3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</row>
    <row r="152" spans="3:20" ht="15" thickBot="1" x14ac:dyDescent="0.35">
      <c r="E152" s="15" t="s">
        <v>107</v>
      </c>
      <c r="F152" s="15"/>
      <c r="G152" s="12">
        <v>100</v>
      </c>
    </row>
    <row r="153" spans="3:20" ht="15" thickBot="1" x14ac:dyDescent="0.35">
      <c r="E153" s="15" t="s">
        <v>138</v>
      </c>
      <c r="F153" s="15"/>
      <c r="G153" s="12">
        <f>J151*G152*(G156/G157)</f>
        <v>1200</v>
      </c>
      <c r="I153" s="9" t="s">
        <v>141</v>
      </c>
      <c r="J153" s="10">
        <f>G153/1000</f>
        <v>1.2</v>
      </c>
    </row>
    <row r="154" spans="3:20" x14ac:dyDescent="0.3">
      <c r="D154" t="s">
        <v>139</v>
      </c>
      <c r="G154">
        <f>(2*PI()*J155*G152) *(G156/G157)</f>
        <v>6283.1853071795858</v>
      </c>
      <c r="I154" t="s">
        <v>140</v>
      </c>
      <c r="J154">
        <f>G154/1000</f>
        <v>6.2831853071795862</v>
      </c>
    </row>
    <row r="155" spans="3:20" x14ac:dyDescent="0.3">
      <c r="I155" t="s">
        <v>130</v>
      </c>
      <c r="J155">
        <v>10</v>
      </c>
      <c r="K155">
        <f>K151/(2*PI())</f>
        <v>0</v>
      </c>
    </row>
    <row r="156" spans="3:20" x14ac:dyDescent="0.3">
      <c r="E156" s="15" t="s">
        <v>106</v>
      </c>
      <c r="F156" s="15"/>
      <c r="G156">
        <v>3</v>
      </c>
    </row>
    <row r="157" spans="3:20" x14ac:dyDescent="0.3">
      <c r="E157" s="15" t="s">
        <v>105</v>
      </c>
      <c r="F157" s="15"/>
      <c r="G157">
        <v>3</v>
      </c>
    </row>
    <row r="162" spans="5:13" x14ac:dyDescent="0.3">
      <c r="E162" s="16" t="s">
        <v>100</v>
      </c>
      <c r="F162">
        <v>2</v>
      </c>
      <c r="G162" t="s">
        <v>101</v>
      </c>
    </row>
    <row r="163" spans="5:13" x14ac:dyDescent="0.3">
      <c r="E163" s="12" t="s">
        <v>94</v>
      </c>
      <c r="F163">
        <v>12</v>
      </c>
      <c r="G163" t="s">
        <v>97</v>
      </c>
    </row>
    <row r="164" spans="5:13" x14ac:dyDescent="0.3">
      <c r="E164" s="12" t="s">
        <v>35</v>
      </c>
      <c r="F164" s="17">
        <v>0</v>
      </c>
      <c r="G164" t="s">
        <v>97</v>
      </c>
    </row>
    <row r="165" spans="5:13" x14ac:dyDescent="0.3">
      <c r="E165" s="12" t="s">
        <v>93</v>
      </c>
      <c r="F165">
        <f>F163-F164</f>
        <v>12</v>
      </c>
      <c r="G165" t="s">
        <v>97</v>
      </c>
    </row>
    <row r="166" spans="5:13" x14ac:dyDescent="0.3">
      <c r="E166" s="12" t="s">
        <v>89</v>
      </c>
      <c r="F166">
        <f>F165/F168</f>
        <v>111.61400813942856</v>
      </c>
      <c r="G166" t="s">
        <v>97</v>
      </c>
      <c r="J166" t="s">
        <v>115</v>
      </c>
    </row>
    <row r="167" spans="5:13" x14ac:dyDescent="0.3">
      <c r="E167" s="12" t="s">
        <v>90</v>
      </c>
      <c r="F167">
        <f>((G171)    *  (J153)      ) /(PI() * ((G170/2) * (1/1000))^2    )</f>
        <v>5.3756693268328666E-2</v>
      </c>
      <c r="G167" s="18"/>
      <c r="J167" t="s">
        <v>119</v>
      </c>
    </row>
    <row r="168" spans="5:13" x14ac:dyDescent="0.3">
      <c r="E168" s="19" t="s">
        <v>111</v>
      </c>
      <c r="F168">
        <f>F167*F162</f>
        <v>0.10751338653665733</v>
      </c>
      <c r="J168" t="s">
        <v>116</v>
      </c>
    </row>
    <row r="170" spans="5:13" x14ac:dyDescent="0.3">
      <c r="E170" t="s">
        <v>112</v>
      </c>
      <c r="G170">
        <v>0.7</v>
      </c>
    </row>
    <row r="171" spans="5:13" x14ac:dyDescent="0.3">
      <c r="E171" t="s">
        <v>98</v>
      </c>
      <c r="G171">
        <f>1.724*10^-8</f>
        <v>1.7240000000000001E-8</v>
      </c>
    </row>
    <row r="172" spans="5:13" x14ac:dyDescent="0.3">
      <c r="E172" t="s">
        <v>99</v>
      </c>
      <c r="G172">
        <f>2.43*10^-8</f>
        <v>2.4300000000000003E-8</v>
      </c>
    </row>
    <row r="174" spans="5:13" x14ac:dyDescent="0.3">
      <c r="E174" t="s">
        <v>95</v>
      </c>
      <c r="F174">
        <f>F175*F181*F176*F166</f>
        <v>140.25829920341607</v>
      </c>
      <c r="J174" t="s">
        <v>129</v>
      </c>
      <c r="M174" s="1" t="s">
        <v>118</v>
      </c>
    </row>
    <row r="175" spans="5:13" x14ac:dyDescent="0.3">
      <c r="E175" t="s">
        <v>96</v>
      </c>
      <c r="F175">
        <f>4*PI()*10^-7</f>
        <v>1.2566370614359173E-6</v>
      </c>
    </row>
    <row r="176" spans="5:13" x14ac:dyDescent="0.3">
      <c r="E176" t="s">
        <v>113</v>
      </c>
      <c r="F176">
        <f>(G152/(G151/1000))</f>
        <v>10000</v>
      </c>
      <c r="J176" t="s">
        <v>120</v>
      </c>
    </row>
    <row r="177" spans="5:11" x14ac:dyDescent="0.3">
      <c r="E177" t="s">
        <v>126</v>
      </c>
      <c r="F177">
        <f>F175*F181*F188</f>
        <v>140.25829920341607</v>
      </c>
      <c r="J177" t="s">
        <v>127</v>
      </c>
    </row>
    <row r="178" spans="5:11" x14ac:dyDescent="0.3">
      <c r="E178" t="s">
        <v>134</v>
      </c>
      <c r="F178">
        <f>F175*F181*(G151*10^-2)</f>
        <v>1.2566370614359175E-5</v>
      </c>
      <c r="J178" t="s">
        <v>135</v>
      </c>
    </row>
    <row r="179" spans="5:11" x14ac:dyDescent="0.3">
      <c r="E179" t="s">
        <v>136</v>
      </c>
      <c r="F179">
        <f>F175*F181*F187</f>
        <v>0.22322801627885716</v>
      </c>
      <c r="J179" t="s">
        <v>137</v>
      </c>
      <c r="K179" t="s">
        <v>143</v>
      </c>
    </row>
    <row r="180" spans="5:11" x14ac:dyDescent="0.3">
      <c r="E180" t="s">
        <v>144</v>
      </c>
      <c r="F180">
        <f>F175*F181*((G152*F166)/(G151/1000))</f>
        <v>140.25829920341607</v>
      </c>
      <c r="J180" t="s">
        <v>146</v>
      </c>
      <c r="K180" t="s">
        <v>145</v>
      </c>
    </row>
    <row r="181" spans="5:11" x14ac:dyDescent="0.3">
      <c r="E181" t="s">
        <v>128</v>
      </c>
      <c r="F181">
        <v>100</v>
      </c>
    </row>
    <row r="183" spans="5:11" x14ac:dyDescent="0.3">
      <c r="E183" t="s">
        <v>148</v>
      </c>
      <c r="F183">
        <f>PI()*(G170/2000)^2</f>
        <v>3.8484510006474966E-7</v>
      </c>
      <c r="J183" t="s">
        <v>149</v>
      </c>
      <c r="K183" t="s">
        <v>151</v>
      </c>
    </row>
    <row r="184" spans="5:11" x14ac:dyDescent="0.3">
      <c r="E184" t="s">
        <v>147</v>
      </c>
      <c r="F184">
        <f>((F180^2)*F183)/(2*F181*F175)</f>
        <v>30.123347946134817</v>
      </c>
      <c r="J184" t="s">
        <v>150</v>
      </c>
    </row>
    <row r="187" spans="5:11" x14ac:dyDescent="0.3">
      <c r="E187" t="s">
        <v>117</v>
      </c>
      <c r="F187">
        <f>G152*(G156/G157)*F166/J154</f>
        <v>1776.3921113689098</v>
      </c>
      <c r="J187" t="s">
        <v>131</v>
      </c>
    </row>
    <row r="188" spans="5:11" x14ac:dyDescent="0.3">
      <c r="E188" t="s">
        <v>125</v>
      </c>
      <c r="F188">
        <f>G152*F166/(J155*10^-3)</f>
        <v>1116140.0813942857</v>
      </c>
      <c r="J188" t="s">
        <v>142</v>
      </c>
    </row>
    <row r="189" spans="5:11" x14ac:dyDescent="0.3">
      <c r="E189" t="s">
        <v>132</v>
      </c>
      <c r="F189">
        <f>G154*F167/(G151*10^-3)</f>
        <v>33776.326530612241</v>
      </c>
      <c r="J189" t="s">
        <v>133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ABC3A435-B1B5-4ADE-8995-32B666B52930}"/>
    <hyperlink ref="D45" r:id="rId2" xr:uid="{30279D9E-C0C7-4DB1-B524-56F0E43E6352}"/>
    <hyperlink ref="E87" r:id="rId3" xr:uid="{B3FD3783-F41D-4BFF-B225-62C91710B70D}"/>
    <hyperlink ref="E88" r:id="rId4" xr:uid="{76FD13A0-29B1-4AD4-B9A9-8325770F6864}"/>
    <hyperlink ref="M174" r:id="rId5" xr:uid="{79751D78-4AEC-44DE-AC1E-BA8958ECC5B8}"/>
    <hyperlink ref="D98" r:id="rId6" xr:uid="{B7D8395C-6009-4E53-8ACA-509F289CCAF3}"/>
    <hyperlink ref="W131" r:id="rId7" xr:uid="{9A1BFDCD-A14D-44F9-B3A7-1B4DD4B5B2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2023-11-27T15:45:50Z</dcterms:modified>
</cp:coreProperties>
</file>