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C585F67E-20D5-4447-BA13-BA91E6B0BEF9}" xr6:coauthVersionLast="47" xr6:coauthVersionMax="47" xr10:uidLastSave="{00000000-0000-0000-0000-000000000000}"/>
  <bookViews>
    <workbookView xWindow="-108" yWindow="-108" windowWidth="23256" windowHeight="12456" xr2:uid="{A0CABE93-1CAF-4178-A500-DBCC18B48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3" i="1" l="1"/>
  <c r="P120" i="1"/>
  <c r="P122" i="1" s="1"/>
  <c r="Y163" i="1"/>
  <c r="Y165" i="1" s="1"/>
  <c r="AB151" i="1"/>
  <c r="AC151" i="1" s="1"/>
  <c r="Z154" i="1"/>
  <c r="BB118" i="1"/>
  <c r="BA147" i="1"/>
  <c r="BA140" i="1"/>
  <c r="BA139" i="1"/>
  <c r="BG136" i="1"/>
  <c r="BF136" i="1"/>
  <c r="BB136" i="1"/>
  <c r="BH135" i="1"/>
  <c r="BB135" i="1"/>
  <c r="BH134" i="1"/>
  <c r="BA129" i="1"/>
  <c r="AE172" i="1"/>
  <c r="AD172" i="1"/>
  <c r="AF171" i="1"/>
  <c r="AF170" i="1"/>
  <c r="Y183" i="1"/>
  <c r="Y175" i="1"/>
  <c r="Z172" i="1"/>
  <c r="Z171" i="1"/>
  <c r="F231" i="1"/>
  <c r="F223" i="1"/>
  <c r="G220" i="1"/>
  <c r="G219" i="1"/>
  <c r="F213" i="1"/>
  <c r="K203" i="1"/>
  <c r="G202" i="1"/>
  <c r="J199" i="1"/>
  <c r="G201" i="1" s="1"/>
  <c r="F133" i="1"/>
  <c r="P132" i="1"/>
  <c r="AL132" i="1"/>
  <c r="AL133" i="1"/>
  <c r="F183" i="1"/>
  <c r="F132" i="1"/>
  <c r="G154" i="1"/>
  <c r="J154" i="1" s="1"/>
  <c r="K155" i="1"/>
  <c r="F176" i="1"/>
  <c r="F175" i="1"/>
  <c r="F178" i="1" s="1"/>
  <c r="G172" i="1"/>
  <c r="G171" i="1"/>
  <c r="F165" i="1"/>
  <c r="AM129" i="1"/>
  <c r="AM128" i="1"/>
  <c r="AM127" i="1"/>
  <c r="AL122" i="1"/>
  <c r="AP114" i="1"/>
  <c r="AM116" i="1" s="1"/>
  <c r="AP116" i="1" s="1"/>
  <c r="Q127" i="1"/>
  <c r="Z141" i="1" s="1"/>
  <c r="G128" i="1"/>
  <c r="Q128" i="1"/>
  <c r="T114" i="1"/>
  <c r="T117" i="1" s="1"/>
  <c r="Q129" i="1"/>
  <c r="H114" i="1"/>
  <c r="J114" i="1"/>
  <c r="F122" i="1"/>
  <c r="G129" i="1"/>
  <c r="G127" i="1"/>
  <c r="H88" i="1"/>
  <c r="H87" i="1"/>
  <c r="I46" i="1"/>
  <c r="I50" i="1" s="1"/>
  <c r="I55" i="1"/>
  <c r="H38" i="1"/>
  <c r="F39" i="1" s="1"/>
  <c r="AE151" i="1" l="1"/>
  <c r="AE153" i="1" s="1"/>
  <c r="Y176" i="1"/>
  <c r="BG115" i="1"/>
  <c r="BG117" i="1" s="1"/>
  <c r="BA131" i="1" s="1"/>
  <c r="BA132" i="1" s="1"/>
  <c r="BA130" i="1" s="1"/>
  <c r="BE115" i="1"/>
  <c r="BB117" i="1" s="1"/>
  <c r="BE117" i="1" s="1"/>
  <c r="BA142" i="1"/>
  <c r="AC153" i="1"/>
  <c r="Y167" i="1" s="1"/>
  <c r="Y168" i="1" s="1"/>
  <c r="F135" i="1"/>
  <c r="Y178" i="1"/>
  <c r="F215" i="1"/>
  <c r="F216" i="1" s="1"/>
  <c r="F214" i="1" s="1"/>
  <c r="F237" i="1" s="1"/>
  <c r="F226" i="1"/>
  <c r="J202" i="1"/>
  <c r="K114" i="1"/>
  <c r="J117" i="1" s="1"/>
  <c r="AL124" i="1"/>
  <c r="AL125" i="1" s="1"/>
  <c r="AL123" i="1" s="1"/>
  <c r="AL131" i="1" s="1"/>
  <c r="AP117" i="1"/>
  <c r="I47" i="1"/>
  <c r="I56" i="1" s="1"/>
  <c r="I57" i="1" s="1"/>
  <c r="J151" i="1"/>
  <c r="G153" i="1" s="1"/>
  <c r="Q116" i="1"/>
  <c r="Y166" i="1" l="1"/>
  <c r="Y174" i="1" s="1"/>
  <c r="BA144" i="1"/>
  <c r="BA148" i="1" s="1"/>
  <c r="BI121" i="1"/>
  <c r="BA153" i="1"/>
  <c r="BA152" i="1"/>
  <c r="BA141" i="1" s="1"/>
  <c r="BA151" i="1"/>
  <c r="BA143" i="1" s="1"/>
  <c r="BA138" i="1"/>
  <c r="T116" i="1"/>
  <c r="P133" i="1"/>
  <c r="F236" i="1"/>
  <c r="F225" i="1" s="1"/>
  <c r="F235" i="1"/>
  <c r="F227" i="1" s="1"/>
  <c r="F222" i="1"/>
  <c r="F228" i="1"/>
  <c r="F232" i="1" s="1"/>
  <c r="AL138" i="1"/>
  <c r="AL134" i="1" s="1"/>
  <c r="AL137" i="1"/>
  <c r="G116" i="1"/>
  <c r="J153" i="1"/>
  <c r="F167" i="1" s="1"/>
  <c r="AG157" i="1" l="1"/>
  <c r="Y188" i="1"/>
  <c r="Y177" i="1" s="1"/>
  <c r="Y180" i="1"/>
  <c r="Y184" i="1" s="1"/>
  <c r="Y189" i="1"/>
  <c r="Y187" i="1"/>
  <c r="Y179" i="1" s="1"/>
  <c r="J116" i="1"/>
  <c r="F124" i="1" s="1"/>
  <c r="F125" i="1" s="1"/>
  <c r="F123" i="1" s="1"/>
  <c r="P124" i="1"/>
  <c r="P125" i="1" s="1"/>
  <c r="P123" i="1" s="1"/>
  <c r="Y121" i="1" s="1"/>
  <c r="F168" i="1"/>
  <c r="F166" i="1" s="1"/>
  <c r="F189" i="1" s="1"/>
  <c r="P144" i="1" l="1"/>
  <c r="P145" i="1"/>
  <c r="P134" i="1" s="1"/>
  <c r="P136" i="1"/>
  <c r="P146" i="1"/>
  <c r="P135" i="1" s="1"/>
  <c r="P137" i="1"/>
  <c r="P141" i="1" s="1"/>
  <c r="P131" i="1"/>
  <c r="F142" i="1"/>
  <c r="F140" i="1"/>
  <c r="F136" i="1" s="1"/>
  <c r="F141" i="1"/>
  <c r="F134" i="1" s="1"/>
  <c r="F131" i="1"/>
  <c r="F180" i="1"/>
  <c r="F184" i="1" s="1"/>
  <c r="F187" i="1"/>
  <c r="F179" i="1" s="1"/>
  <c r="F188" i="1"/>
  <c r="F177" i="1" s="1"/>
  <c r="F174" i="1"/>
</calcChain>
</file>

<file path=xl/sharedStrings.xml><?xml version="1.0" encoding="utf-8"?>
<sst xmlns="http://schemas.openxmlformats.org/spreadsheetml/2006/main" count="521" uniqueCount="174">
  <si>
    <t>Formulas:</t>
  </si>
  <si>
    <t>torque</t>
  </si>
  <si>
    <t>the load requirement (ferris wheel)</t>
  </si>
  <si>
    <t>assumptions:</t>
  </si>
  <si>
    <t>it is a hoop (for the calculation of moment of inertia)</t>
  </si>
  <si>
    <t>&lt;= 1kg (rotor &amp; cubicles, not including the nonlocomotor parts)</t>
  </si>
  <si>
    <t>made of cardboard</t>
  </si>
  <si>
    <t>calculations:</t>
  </si>
  <si>
    <t>moment of inertia</t>
  </si>
  <si>
    <t>c * mass * radius^2</t>
  </si>
  <si>
    <t>radius * force * sin(\theta)</t>
  </si>
  <si>
    <t>mass</t>
  </si>
  <si>
    <t>radius</t>
  </si>
  <si>
    <t>angular acceleration</t>
  </si>
  <si>
    <t>change in angular velocity / change in time</t>
  </si>
  <si>
    <t>or</t>
  </si>
  <si>
    <t>mass * radius^2 * angular acceleration</t>
  </si>
  <si>
    <t>goals:</t>
  </si>
  <si>
    <t>rpm</t>
  </si>
  <si>
    <t>1 - 20 rpm</t>
  </si>
  <si>
    <t>(1rpm sounds reasonable for a big ass ferris wheel, 20 rpm looks like a reasonable for a small-sized ferris wheel: being that it may be considered as a toy)</t>
  </si>
  <si>
    <t>https://www.youtube.com/watch?v=YQt9gEAHUUM</t>
  </si>
  <si>
    <t>&lt;= 0.5ft radius (1ft diameter) || 0.1524 m radius</t>
  </si>
  <si>
    <t>m</t>
  </si>
  <si>
    <t>kg</t>
  </si>
  <si>
    <t>to have a lot of overhead (limitless; i.e., we don’t want it to perform under the calculations. So it will not be a problem to make small adjustments when outcome of the initial plan is performing poorly)</t>
  </si>
  <si>
    <t>angular velocity</t>
  </si>
  <si>
    <t>rad/s</t>
  </si>
  <si>
    <t>angular acceleration (after 1 second from rest)</t>
  </si>
  <si>
    <t>resistance of two phases (in wye config) of a commercial motor:</t>
  </si>
  <si>
    <t>=</t>
  </si>
  <si>
    <t>~</t>
  </si>
  <si>
    <t xml:space="preserve">~ </t>
  </si>
  <si>
    <t>voltage input</t>
  </si>
  <si>
    <t>current</t>
  </si>
  <si>
    <t>back emf</t>
  </si>
  <si>
    <t>assuming:</t>
  </si>
  <si>
    <t>area</t>
  </si>
  <si>
    <t>dia</t>
  </si>
  <si>
    <t>length</t>
  </si>
  <si>
    <t>?</t>
  </si>
  <si>
    <t>resistivity</t>
  </si>
  <si>
    <t>resistance for one phase</t>
  </si>
  <si>
    <t>ohms</t>
  </si>
  <si>
    <t>Problem statement:</t>
  </si>
  <si>
    <t>what rpm will the given parameters give?</t>
  </si>
  <si>
    <t>now we can calculate length using the resistivity formula</t>
  </si>
  <si>
    <t>r = pL / A</t>
  </si>
  <si>
    <t>data sheet of the motor:</t>
  </si>
  <si>
    <t>https://www.rhydolabz.com/documents/26/BLDC_A2212_13T.pdf</t>
  </si>
  <si>
    <t>Commercial motor (add this sa related literature)</t>
  </si>
  <si>
    <t>&lt;- full throttle</t>
  </si>
  <si>
    <t xml:space="preserve">back emf </t>
  </si>
  <si>
    <t>using a resistor @ wye config</t>
  </si>
  <si>
    <t>resistance of two phases (in wye config)</t>
  </si>
  <si>
    <t>R in one phase</t>
  </si>
  <si>
    <t>none</t>
  </si>
  <si>
    <t>2. same context from 1, but used 5 ohms resistor for each phases in wye config. 0.37 A, 11.09 @ full throttle</t>
  </si>
  <si>
    <t>1. Hooked up one 50 ohms electromagnet for each phases (3 phases) in delta configuration, less than 0.1 A, 11.78 @ full throttle</t>
  </si>
  <si>
    <t>if the PWM and the ESC determines the speed of the motor, then the parameters of the motor wouldn’t matter</t>
  </si>
  <si>
    <t>one of the things that would define how the motor was constructed is its torque, and not the rotational speed</t>
  </si>
  <si>
    <t>the materials brought are as such:</t>
  </si>
  <si>
    <t>link</t>
  </si>
  <si>
    <t>https://shopee.ph/Ndfeb-Strong-Magnetic-Iron-Steel-Round-Magnet-8X5mm-10mmX2mm-Square-i.695869163.22240112136</t>
  </si>
  <si>
    <t xml:space="preserve">ndfeb magnet </t>
  </si>
  <si>
    <t>material</t>
  </si>
  <si>
    <t>quantity</t>
  </si>
  <si>
    <t>price(+shipping)</t>
  </si>
  <si>
    <t>https://shopee.ph/5-PCS-B10k-Rotary-Knob-type-10k-Ohm-Precision-Potentiometer-i.18252381.13228237269</t>
  </si>
  <si>
    <t xml:space="preserve">10k potentiometer </t>
  </si>
  <si>
    <t>prior to such realizations, it was a mistake that we hurriedly brought an ESC, a few batteries, and several components to experiment with such things</t>
  </si>
  <si>
    <t>the motivation behind it was fearing that we would be too late if we wouldn't be able to experiment with what the others (related literetature) have done</t>
  </si>
  <si>
    <t>and of course, we want to get our hands on this fokin toy (I want to play with it), este project</t>
  </si>
  <si>
    <t>so before making anymore rash decisions on what to buy, we have to make do with our current materials</t>
  </si>
  <si>
    <t>namely:</t>
  </si>
  <si>
    <t>purpose</t>
  </si>
  <si>
    <t>Realization:</t>
  </si>
  <si>
    <t>scope and edlimitation</t>
  </si>
  <si>
    <t>choose what seems to work (ferris wheel, motor, motor driver)</t>
  </si>
  <si>
    <t>based on:</t>
  </si>
  <si>
    <t>L</t>
  </si>
  <si>
    <t>W</t>
  </si>
  <si>
    <t>H</t>
  </si>
  <si>
    <t>total (1 rev)</t>
  </si>
  <si>
    <t>coil slot dimension</t>
  </si>
  <si>
    <t>number of turns</t>
  </si>
  <si>
    <t>in mm</t>
  </si>
  <si>
    <t>in m:</t>
  </si>
  <si>
    <t>1 phase length of coil</t>
  </si>
  <si>
    <t>A</t>
  </si>
  <si>
    <t>R</t>
  </si>
  <si>
    <t>pl/a</t>
  </si>
  <si>
    <t>Diameter ng wire</t>
  </si>
  <si>
    <t>True volt</t>
  </si>
  <si>
    <t>Battery V</t>
  </si>
  <si>
    <t>B field</t>
  </si>
  <si>
    <t>mew naught</t>
  </si>
  <si>
    <t>unknown</t>
  </si>
  <si>
    <t>resistivty of copper @ 20</t>
  </si>
  <si>
    <t>resistvty of copper @ 50</t>
  </si>
  <si>
    <t>configuration</t>
  </si>
  <si>
    <t>wye</t>
  </si>
  <si>
    <t>Motor Design (video 1):</t>
  </si>
  <si>
    <t>Motor Design (1000kv):</t>
  </si>
  <si>
    <t>1 round edge</t>
  </si>
  <si>
    <t>phases of motor</t>
  </si>
  <si>
    <t>number of stator poles</t>
  </si>
  <si>
    <t>number of turns / slot</t>
  </si>
  <si>
    <t>check if the 0.09ohms is for two phases or just 1 phase</t>
  </si>
  <si>
    <t>Motor Design (video 2):</t>
  </si>
  <si>
    <t>T_R 2 phase</t>
  </si>
  <si>
    <t>Diameter ng wire (mm)</t>
  </si>
  <si>
    <t>n</t>
  </si>
  <si>
    <t>mewnaught * n * current</t>
  </si>
  <si>
    <t>tru volts / total R</t>
  </si>
  <si>
    <t>config * total R</t>
  </si>
  <si>
    <t>H field</t>
  </si>
  <si>
    <t>https://www.toppr.com/guides/physics-formulas/magnetic-field-strength-formula/</t>
  </si>
  <si>
    <t>resisitivty of copper * length of copper wire 1 phase / area of wire</t>
  </si>
  <si>
    <t>((Number of turns / length ))</t>
  </si>
  <si>
    <t>https://www.youtube.com/watch?v=DyN-qjOPLKU</t>
  </si>
  <si>
    <t>motor design video poles stator:rotor (6:4)</t>
  </si>
  <si>
    <t>mean radius</t>
  </si>
  <si>
    <t>NI / radius in m</t>
  </si>
  <si>
    <t>h2 field</t>
  </si>
  <si>
    <t>B2 field</t>
  </si>
  <si>
    <t>mew * H2</t>
  </si>
  <si>
    <t>mew medium</t>
  </si>
  <si>
    <t>mew * n * current</t>
  </si>
  <si>
    <t>mean radius 1phase</t>
  </si>
  <si>
    <t>NI / length per phase</t>
  </si>
  <si>
    <t>h3 field</t>
  </si>
  <si>
    <t>NI / length of slot in m</t>
  </si>
  <si>
    <t>B3 field</t>
  </si>
  <si>
    <t>mew * H3</t>
  </si>
  <si>
    <t>B_H field</t>
  </si>
  <si>
    <t xml:space="preserve">mew * H </t>
  </si>
  <si>
    <t>1 phase length of coil (square)</t>
  </si>
  <si>
    <t>1 phase length of coil (circle)</t>
  </si>
  <si>
    <t>length perphase C m:</t>
  </si>
  <si>
    <t>length perphase S m:</t>
  </si>
  <si>
    <t>NI / radius in m for 1 slot</t>
  </si>
  <si>
    <t>for one phase</t>
  </si>
  <si>
    <t>B_H field2</t>
  </si>
  <si>
    <t>for one slot</t>
  </si>
  <si>
    <t>mew * (NI/L)</t>
  </si>
  <si>
    <t>Force</t>
  </si>
  <si>
    <t xml:space="preserve">S </t>
  </si>
  <si>
    <t>pi * r^2</t>
  </si>
  <si>
    <t>F = {(B_Hfield2^2)   * S   } /  {      2 * mew}</t>
  </si>
  <si>
    <t xml:space="preserve"> for one slot</t>
  </si>
  <si>
    <t>Motor design (self:: 0.66mm radius):</t>
  </si>
  <si>
    <t>Motor design (self: 0.7 dia):</t>
  </si>
  <si>
    <t>Motor design (self: 0.7 dia, n42 magnet):</t>
  </si>
  <si>
    <t xml:space="preserve">https://www.scribd.com/document/427205752/American-Wire-Gauge-Conductor-Size-Table-pdf </t>
  </si>
  <si>
    <t>0.7 mm dia (ampacity=    ~1A)</t>
  </si>
  <si>
    <t>https://www.powerstream.com/Wire_Size.htm</t>
  </si>
  <si>
    <t>0.1mm dia (~0.091A)</t>
  </si>
  <si>
    <t>ratio(dia)</t>
  </si>
  <si>
    <t>ratio(A)</t>
  </si>
  <si>
    <t>ratio ampacity(I : I_allow)</t>
  </si>
  <si>
    <t>allowable current for dia:</t>
  </si>
  <si>
    <t>https://www.rcgroups.com/forums/showthread.php?587549-Motor-formulas</t>
  </si>
  <si>
    <t>Doubling the number of winds halves Kv (rpm/volt) and doubles Kt (torque/Ampere)</t>
  </si>
  <si>
    <t>Doubling statorheight halves Kv, doubles Kt and (roughly) doubles maximum power.</t>
  </si>
  <si>
    <t>https://electronics.stackexchange.com/questions/390683/motor-current-consumption-and-power-do-not-match</t>
  </si>
  <si>
    <r>
      <t>mechanical output power (</t>
    </r>
    <r>
      <rPr>
        <sz val="12.75"/>
        <color theme="1"/>
        <rFont val="MathJax_Main"/>
      </rPr>
      <t>2</t>
    </r>
    <r>
      <rPr>
        <i/>
        <sz val="12.75"/>
        <color theme="1"/>
        <rFont val="MathJax_Math"/>
      </rPr>
      <t>πnT</t>
    </r>
    <r>
      <rPr>
        <sz val="11"/>
        <color theme="1"/>
        <rFont val="Calibri"/>
        <family val="2"/>
        <scheme val="minor"/>
      </rPr>
      <t>).</t>
    </r>
  </si>
  <si>
    <t>https://www.machinedesign.com/mechanical-motion-systems/article/21251043/portescap-understanding-losses-in-bldc-motors</t>
  </si>
  <si>
    <t>energy losses</t>
  </si>
  <si>
    <t>constant</t>
  </si>
  <si>
    <t>Motor design (very long height):</t>
  </si>
  <si>
    <t>https://www.youtube.com/watch?v=PfjFsSs8qJU</t>
  </si>
  <si>
    <t>Rotor diameter: mm</t>
  </si>
  <si>
    <t>(origin) from rotor radius to stator 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</si>
</sst>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.75"/>
      <color theme="1"/>
      <name val="MathJax_Main"/>
    </font>
    <font>
      <i/>
      <sz val="12.75"/>
      <color theme="1"/>
      <name val="MathJax_Math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2" borderId="0" xfId="0" applyFill="1"/>
    <xf numFmtId="0" fontId="3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pr.com/guides/physics-formulas/magnetic-field-strength-formula/" TargetMode="External"/><Relationship Id="rId13" Type="http://schemas.openxmlformats.org/officeDocument/2006/relationships/hyperlink" Target="https://electronics.stackexchange.com/questions/390683/motor-current-consumption-and-power-do-not-match" TargetMode="External"/><Relationship Id="rId18" Type="http://schemas.openxmlformats.org/officeDocument/2006/relationships/hyperlink" Target="https://www.youtube.com/watch?v=PfjFsSs8qJU" TargetMode="External"/><Relationship Id="rId3" Type="http://schemas.openxmlformats.org/officeDocument/2006/relationships/hyperlink" Target="https://shopee.ph/Ndfeb-Strong-Magnetic-Iron-Steel-Round-Magnet-8X5mm-10mmX2mm-Square-i.695869163.22240112136" TargetMode="External"/><Relationship Id="rId7" Type="http://schemas.openxmlformats.org/officeDocument/2006/relationships/hyperlink" Target="https://www.toppr.com/guides/physics-formulas/magnetic-field-strength-formula/" TargetMode="External"/><Relationship Id="rId12" Type="http://schemas.openxmlformats.org/officeDocument/2006/relationships/hyperlink" Target="https://www.rcgroups.com/forums/showthread.php?587549-Motor-formulas" TargetMode="External"/><Relationship Id="rId17" Type="http://schemas.openxmlformats.org/officeDocument/2006/relationships/hyperlink" Target="https://www.powerstream.com/Wire_Size.htm" TargetMode="External"/><Relationship Id="rId2" Type="http://schemas.openxmlformats.org/officeDocument/2006/relationships/hyperlink" Target="https://www.rhydolabz.com/documents/26/BLDC_A2212_13T.pdf" TargetMode="External"/><Relationship Id="rId16" Type="http://schemas.openxmlformats.org/officeDocument/2006/relationships/hyperlink" Target="https://www.scribd.com/document/427205752/American-Wire-Gauge-Conductor-Size-Table-pdf" TargetMode="External"/><Relationship Id="rId1" Type="http://schemas.openxmlformats.org/officeDocument/2006/relationships/hyperlink" Target="https://www.youtube.com/watch?v=YQt9gEAHUUM" TargetMode="External"/><Relationship Id="rId6" Type="http://schemas.openxmlformats.org/officeDocument/2006/relationships/hyperlink" Target="https://www.youtube.com/watch?v=DyN-qjOPLKU" TargetMode="External"/><Relationship Id="rId11" Type="http://schemas.openxmlformats.org/officeDocument/2006/relationships/hyperlink" Target="https://www.powerstream.com/Wire_Size.htm" TargetMode="External"/><Relationship Id="rId5" Type="http://schemas.openxmlformats.org/officeDocument/2006/relationships/hyperlink" Target="https://www.toppr.com/guides/physics-formulas/magnetic-field-strength-formula/" TargetMode="External"/><Relationship Id="rId15" Type="http://schemas.openxmlformats.org/officeDocument/2006/relationships/hyperlink" Target="https://www.toppr.com/guides/physics-formulas/magnetic-field-strength-formula/" TargetMode="External"/><Relationship Id="rId10" Type="http://schemas.openxmlformats.org/officeDocument/2006/relationships/hyperlink" Target="https://www.scribd.com/document/427205752/American-Wire-Gauge-Conductor-Size-Table-pdf" TargetMode="External"/><Relationship Id="rId4" Type="http://schemas.openxmlformats.org/officeDocument/2006/relationships/hyperlink" Target="https://shopee.ph/5-PCS-B10k-Rotary-Knob-type-10k-Ohm-Precision-Potentiometer-i.18252381.13228237269" TargetMode="External"/><Relationship Id="rId9" Type="http://schemas.openxmlformats.org/officeDocument/2006/relationships/hyperlink" Target="https://www.toppr.com/guides/physics-formulas/magnetic-field-strength-formula/" TargetMode="External"/><Relationship Id="rId14" Type="http://schemas.openxmlformats.org/officeDocument/2006/relationships/hyperlink" Target="https://www.machinedesign.com/mechanical-motion-systems/article/21251043/portescap-understanding-losses-in-bldc-mo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8B35-6B67-4A34-9984-D13A8F00E275}">
  <dimension ref="C4:BL259"/>
  <sheetViews>
    <sheetView tabSelected="1" topLeftCell="P147" zoomScale="85" zoomScaleNormal="85" workbookViewId="0">
      <selection activeCell="Z153" sqref="Z153"/>
    </sheetView>
  </sheetViews>
  <sheetFormatPr defaultRowHeight="14.4"/>
  <cols>
    <col min="3" max="3" width="22.33203125" customWidth="1"/>
    <col min="6" max="6" width="12" bestFit="1" customWidth="1"/>
    <col min="7" max="7" width="10" bestFit="1" customWidth="1"/>
    <col min="9" max="9" width="17.33203125" customWidth="1"/>
    <col min="10" max="10" width="11.6640625" customWidth="1"/>
    <col min="16" max="16" width="12.44140625" bestFit="1" customWidth="1"/>
    <col min="28" max="28" width="16" customWidth="1"/>
    <col min="29" max="29" width="14.88671875" customWidth="1"/>
    <col min="30" max="30" width="13" bestFit="1" customWidth="1"/>
  </cols>
  <sheetData>
    <row r="4" spans="3:22">
      <c r="C4" t="s">
        <v>17</v>
      </c>
    </row>
    <row r="5" spans="3:22">
      <c r="D5" t="s">
        <v>25</v>
      </c>
    </row>
    <row r="6" spans="3:22">
      <c r="D6" t="s">
        <v>18</v>
      </c>
      <c r="E6" t="s">
        <v>19</v>
      </c>
      <c r="G6" t="s">
        <v>20</v>
      </c>
      <c r="V6" s="1" t="s">
        <v>21</v>
      </c>
    </row>
    <row r="19" spans="3:6">
      <c r="C19" t="s">
        <v>0</v>
      </c>
    </row>
    <row r="21" spans="3:6">
      <c r="C21" t="s">
        <v>8</v>
      </c>
      <c r="D21" t="s">
        <v>9</v>
      </c>
    </row>
    <row r="22" spans="3:6">
      <c r="C22" t="s">
        <v>13</v>
      </c>
      <c r="D22" t="s">
        <v>14</v>
      </c>
    </row>
    <row r="23" spans="3:6">
      <c r="C23" t="s">
        <v>1</v>
      </c>
      <c r="D23" t="s">
        <v>10</v>
      </c>
    </row>
    <row r="24" spans="3:6">
      <c r="D24" t="s">
        <v>15</v>
      </c>
    </row>
    <row r="25" spans="3:6">
      <c r="D25" t="s">
        <v>16</v>
      </c>
    </row>
    <row r="28" spans="3:6">
      <c r="C28" t="s">
        <v>2</v>
      </c>
    </row>
    <row r="29" spans="3:6">
      <c r="D29" t="s">
        <v>3</v>
      </c>
    </row>
    <row r="30" spans="3:6">
      <c r="E30">
        <v>1</v>
      </c>
      <c r="F30" t="s">
        <v>4</v>
      </c>
    </row>
    <row r="31" spans="3:6">
      <c r="E31">
        <v>2</v>
      </c>
      <c r="F31" t="s">
        <v>5</v>
      </c>
    </row>
    <row r="32" spans="3:6">
      <c r="E32">
        <v>3</v>
      </c>
      <c r="F32" t="s">
        <v>22</v>
      </c>
    </row>
    <row r="33" spans="3:11">
      <c r="E33">
        <v>4</v>
      </c>
      <c r="F33" t="s">
        <v>6</v>
      </c>
    </row>
    <row r="35" spans="3:11">
      <c r="D35" t="s">
        <v>7</v>
      </c>
    </row>
    <row r="36" spans="3:11">
      <c r="E36" t="s">
        <v>11</v>
      </c>
      <c r="F36">
        <v>1</v>
      </c>
      <c r="G36" t="s">
        <v>24</v>
      </c>
    </row>
    <row r="37" spans="3:11">
      <c r="E37" t="s">
        <v>12</v>
      </c>
      <c r="F37">
        <v>0.15240000000000001</v>
      </c>
      <c r="G37" t="s">
        <v>23</v>
      </c>
    </row>
    <row r="38" spans="3:11">
      <c r="E38" t="s">
        <v>26</v>
      </c>
      <c r="F38">
        <v>20</v>
      </c>
      <c r="G38" t="s">
        <v>18</v>
      </c>
      <c r="H38">
        <f>F38*2*(PI()/60)</f>
        <v>2.0943951023931953</v>
      </c>
      <c r="I38" t="s">
        <v>27</v>
      </c>
    </row>
    <row r="39" spans="3:11">
      <c r="E39" t="s">
        <v>28</v>
      </c>
      <c r="F39">
        <f>(H38-0)/1-0</f>
        <v>2.0943951023931953</v>
      </c>
    </row>
    <row r="44" spans="3:11">
      <c r="C44" s="8" t="s">
        <v>50</v>
      </c>
    </row>
    <row r="45" spans="3:11">
      <c r="C45" t="s">
        <v>48</v>
      </c>
      <c r="D45" s="1" t="s">
        <v>49</v>
      </c>
    </row>
    <row r="46" spans="3:11">
      <c r="C46" t="s">
        <v>29</v>
      </c>
      <c r="H46" t="s">
        <v>31</v>
      </c>
      <c r="I46">
        <f xml:space="preserve"> 0.18</f>
        <v>0.18</v>
      </c>
    </row>
    <row r="47" spans="3:11">
      <c r="C47" t="s">
        <v>55</v>
      </c>
      <c r="H47" t="s">
        <v>32</v>
      </c>
      <c r="I47">
        <f>I46/2</f>
        <v>0.09</v>
      </c>
    </row>
    <row r="48" spans="3:11">
      <c r="C48" t="s">
        <v>33</v>
      </c>
      <c r="H48" t="s">
        <v>31</v>
      </c>
      <c r="I48">
        <v>11.7</v>
      </c>
      <c r="J48">
        <v>10.74</v>
      </c>
      <c r="K48" t="s">
        <v>51</v>
      </c>
    </row>
    <row r="49" spans="3:11">
      <c r="C49" t="s">
        <v>34</v>
      </c>
      <c r="H49" t="s">
        <v>31</v>
      </c>
      <c r="I49">
        <v>0.55000000000000004</v>
      </c>
      <c r="K49" t="s">
        <v>51</v>
      </c>
    </row>
    <row r="50" spans="3:11">
      <c r="C50" t="s">
        <v>52</v>
      </c>
      <c r="H50" t="s">
        <v>31</v>
      </c>
      <c r="I50">
        <f>((I49*I46)-(J48))*-1</f>
        <v>10.641</v>
      </c>
      <c r="K50" t="s">
        <v>51</v>
      </c>
    </row>
    <row r="52" spans="3:11">
      <c r="C52" t="s">
        <v>36</v>
      </c>
    </row>
    <row r="53" spans="3:11">
      <c r="D53" t="s">
        <v>37</v>
      </c>
      <c r="H53" t="s">
        <v>30</v>
      </c>
      <c r="I53">
        <v>0.2</v>
      </c>
      <c r="J53" t="s">
        <v>38</v>
      </c>
    </row>
    <row r="54" spans="3:11">
      <c r="D54" t="s">
        <v>39</v>
      </c>
      <c r="H54" t="s">
        <v>30</v>
      </c>
      <c r="I54" t="s">
        <v>40</v>
      </c>
      <c r="J54" t="s">
        <v>23</v>
      </c>
    </row>
    <row r="55" spans="3:11">
      <c r="D55" t="s">
        <v>41</v>
      </c>
      <c r="H55" t="s">
        <v>30</v>
      </c>
      <c r="I55">
        <f>1.742*10^-8</f>
        <v>1.742E-8</v>
      </c>
    </row>
    <row r="56" spans="3:11" ht="15" thickBot="1">
      <c r="D56" t="s">
        <v>42</v>
      </c>
      <c r="H56" t="s">
        <v>30</v>
      </c>
      <c r="I56">
        <f>I47</f>
        <v>0.09</v>
      </c>
      <c r="J56" t="s">
        <v>43</v>
      </c>
    </row>
    <row r="57" spans="3:11" ht="43.2">
      <c r="C57" s="2" t="s">
        <v>46</v>
      </c>
      <c r="D57" s="3" t="s">
        <v>39</v>
      </c>
      <c r="E57" s="3"/>
      <c r="F57" s="3"/>
      <c r="G57" s="3"/>
      <c r="H57" s="3" t="s">
        <v>30</v>
      </c>
      <c r="I57" s="3">
        <f>(I56*(PI()*((I53/2)*(1/1000))^2))/(I55)</f>
        <v>0.16230960896847382</v>
      </c>
      <c r="J57" s="4" t="s">
        <v>23</v>
      </c>
    </row>
    <row r="58" spans="3:11" ht="15" thickBot="1">
      <c r="C58" s="5" t="s">
        <v>47</v>
      </c>
      <c r="D58" s="6"/>
      <c r="E58" s="6"/>
      <c r="F58" s="6"/>
      <c r="G58" s="6"/>
      <c r="H58" s="6"/>
      <c r="I58" s="6"/>
      <c r="J58" s="7"/>
    </row>
    <row r="64" spans="3:11">
      <c r="C64" s="8" t="s">
        <v>53</v>
      </c>
    </row>
    <row r="65" spans="3:11">
      <c r="C65" t="s">
        <v>54</v>
      </c>
      <c r="H65" t="s">
        <v>31</v>
      </c>
      <c r="I65">
        <v>10</v>
      </c>
    </row>
    <row r="66" spans="3:11">
      <c r="C66" t="s">
        <v>55</v>
      </c>
      <c r="H66" t="s">
        <v>31</v>
      </c>
      <c r="I66">
        <v>5</v>
      </c>
    </row>
    <row r="67" spans="3:11">
      <c r="C67" t="s">
        <v>33</v>
      </c>
      <c r="H67" t="s">
        <v>31</v>
      </c>
      <c r="I67">
        <v>11.8</v>
      </c>
      <c r="J67">
        <v>11.09</v>
      </c>
      <c r="K67" t="s">
        <v>51</v>
      </c>
    </row>
    <row r="68" spans="3:11">
      <c r="C68" t="s">
        <v>34</v>
      </c>
      <c r="H68" t="s">
        <v>31</v>
      </c>
      <c r="I68">
        <v>0.37</v>
      </c>
      <c r="K68" t="s">
        <v>51</v>
      </c>
    </row>
    <row r="69" spans="3:11">
      <c r="C69" t="s">
        <v>35</v>
      </c>
      <c r="H69" t="s">
        <v>31</v>
      </c>
      <c r="I69" t="s">
        <v>56</v>
      </c>
    </row>
    <row r="75" spans="3:11">
      <c r="C75" s="8" t="s">
        <v>44</v>
      </c>
      <c r="D75" s="8" t="s">
        <v>45</v>
      </c>
    </row>
    <row r="77" spans="3:11">
      <c r="D77" t="s">
        <v>58</v>
      </c>
    </row>
    <row r="78" spans="3:11">
      <c r="D78" t="s">
        <v>57</v>
      </c>
    </row>
    <row r="80" spans="3:11">
      <c r="D80" t="s">
        <v>59</v>
      </c>
    </row>
    <row r="81" spans="4:8">
      <c r="D81" t="s">
        <v>60</v>
      </c>
    </row>
    <row r="83" spans="4:8">
      <c r="D83" t="s">
        <v>70</v>
      </c>
    </row>
    <row r="84" spans="4:8">
      <c r="D84" t="s">
        <v>61</v>
      </c>
    </row>
    <row r="86" spans="4:8">
      <c r="E86" t="s">
        <v>62</v>
      </c>
      <c r="F86" t="s">
        <v>65</v>
      </c>
      <c r="G86" t="s">
        <v>66</v>
      </c>
      <c r="H86" t="s">
        <v>67</v>
      </c>
    </row>
    <row r="87" spans="4:8">
      <c r="E87" s="1" t="s">
        <v>63</v>
      </c>
      <c r="F87" t="s">
        <v>64</v>
      </c>
      <c r="G87">
        <v>4</v>
      </c>
      <c r="H87">
        <f>27*G87+40</f>
        <v>148</v>
      </c>
    </row>
    <row r="88" spans="4:8">
      <c r="E88" s="1" t="s">
        <v>68</v>
      </c>
      <c r="F88" t="s">
        <v>69</v>
      </c>
      <c r="G88">
        <v>1</v>
      </c>
      <c r="H88">
        <f>70*G88+38</f>
        <v>108</v>
      </c>
    </row>
    <row r="91" spans="4:8">
      <c r="D91" t="s">
        <v>71</v>
      </c>
    </row>
    <row r="92" spans="4:8">
      <c r="D92" t="s">
        <v>72</v>
      </c>
    </row>
    <row r="94" spans="4:8">
      <c r="D94" t="s">
        <v>73</v>
      </c>
    </row>
    <row r="95" spans="4:8">
      <c r="D95" t="s">
        <v>74</v>
      </c>
    </row>
    <row r="96" spans="4:8">
      <c r="E96" t="s">
        <v>65</v>
      </c>
      <c r="F96" t="s">
        <v>75</v>
      </c>
    </row>
    <row r="98" spans="3:50">
      <c r="C98" s="25" t="s">
        <v>121</v>
      </c>
      <c r="D98" s="1" t="s">
        <v>120</v>
      </c>
    </row>
    <row r="99" spans="3:50">
      <c r="C99" s="25"/>
    </row>
    <row r="102" spans="3:50">
      <c r="C102" t="s">
        <v>76</v>
      </c>
    </row>
    <row r="103" spans="3:50">
      <c r="D103" t="s">
        <v>77</v>
      </c>
    </row>
    <row r="104" spans="3:50">
      <c r="D104">
        <v>1</v>
      </c>
      <c r="E104" t="s">
        <v>78</v>
      </c>
    </row>
    <row r="105" spans="3:50">
      <c r="D105">
        <v>2</v>
      </c>
    </row>
    <row r="106" spans="3:50" ht="28.8">
      <c r="C106" s="24" t="s">
        <v>172</v>
      </c>
      <c r="F106" s="24">
        <v>21.5</v>
      </c>
    </row>
    <row r="107" spans="3:50">
      <c r="C107" t="s">
        <v>173</v>
      </c>
      <c r="F107">
        <v>2.5</v>
      </c>
    </row>
    <row r="111" spans="3:50" ht="15" thickBot="1">
      <c r="C111" t="s">
        <v>102</v>
      </c>
      <c r="M111" t="s">
        <v>103</v>
      </c>
      <c r="AI111" t="s">
        <v>109</v>
      </c>
      <c r="AX111" s="1" t="s">
        <v>171</v>
      </c>
    </row>
    <row r="112" spans="3:50" ht="15" thickBot="1">
      <c r="D112" t="s">
        <v>79</v>
      </c>
      <c r="E112" s="11" t="s">
        <v>86</v>
      </c>
      <c r="N112" t="s">
        <v>79</v>
      </c>
      <c r="O112" s="11" t="s">
        <v>86</v>
      </c>
      <c r="AJ112" t="s">
        <v>79</v>
      </c>
      <c r="AK112" s="11" t="s">
        <v>86</v>
      </c>
      <c r="AX112" t="s">
        <v>170</v>
      </c>
    </row>
    <row r="113" spans="5:61" ht="15" thickBot="1">
      <c r="G113" s="14" t="s">
        <v>80</v>
      </c>
      <c r="H113" s="12" t="s">
        <v>81</v>
      </c>
      <c r="I113" s="12" t="s">
        <v>82</v>
      </c>
      <c r="J113" s="12" t="s">
        <v>104</v>
      </c>
      <c r="K113" s="12" t="s">
        <v>83</v>
      </c>
      <c r="Q113" s="14" t="s">
        <v>80</v>
      </c>
      <c r="R113" s="12" t="s">
        <v>81</v>
      </c>
      <c r="S113" s="12" t="s">
        <v>82</v>
      </c>
      <c r="T113" s="12" t="s">
        <v>83</v>
      </c>
      <c r="AM113" s="14" t="s">
        <v>80</v>
      </c>
      <c r="AN113" s="12" t="s">
        <v>81</v>
      </c>
      <c r="AO113" s="12" t="s">
        <v>82</v>
      </c>
      <c r="AP113" s="12" t="s">
        <v>83</v>
      </c>
      <c r="AY113" t="s">
        <v>79</v>
      </c>
      <c r="AZ113" s="11" t="s">
        <v>86</v>
      </c>
    </row>
    <row r="114" spans="5:61">
      <c r="E114" s="26" t="s">
        <v>84</v>
      </c>
      <c r="F114" s="26"/>
      <c r="G114" s="12">
        <v>18</v>
      </c>
      <c r="H114" s="13">
        <f>14</f>
        <v>14</v>
      </c>
      <c r="I114" s="12">
        <v>16</v>
      </c>
      <c r="J114" s="12">
        <f>2*PI()*1/4</f>
        <v>1.5707963267948966</v>
      </c>
      <c r="K114" s="12">
        <f>(H114*2)+(I114*2)+(J114*4)</f>
        <v>66.283185307179593</v>
      </c>
      <c r="O114" s="26" t="s">
        <v>84</v>
      </c>
      <c r="P114" s="26"/>
      <c r="Q114" s="12">
        <v>5</v>
      </c>
      <c r="R114" s="13">
        <v>0.56000000000000005</v>
      </c>
      <c r="S114" s="12">
        <v>1.4</v>
      </c>
      <c r="T114" s="12">
        <f>(R114*2)+(S114*2)</f>
        <v>3.92</v>
      </c>
      <c r="AK114" s="26" t="s">
        <v>84</v>
      </c>
      <c r="AL114" s="26"/>
      <c r="AM114" s="12">
        <v>5</v>
      </c>
      <c r="AN114" s="13">
        <v>0.5</v>
      </c>
      <c r="AO114" s="12">
        <v>1.4</v>
      </c>
      <c r="AP114" s="12">
        <f>(AN114*2)+(AO114*2)</f>
        <v>3.8</v>
      </c>
      <c r="BB114" s="14" t="s">
        <v>80</v>
      </c>
      <c r="BC114" s="12" t="s">
        <v>81</v>
      </c>
      <c r="BD114" s="12" t="s">
        <v>82</v>
      </c>
      <c r="BE114" s="12" t="s">
        <v>83</v>
      </c>
    </row>
    <row r="115" spans="5:61" ht="15" thickBot="1">
      <c r="E115" s="26" t="s">
        <v>85</v>
      </c>
      <c r="F115" s="26"/>
      <c r="G115" s="12">
        <v>100</v>
      </c>
      <c r="O115" s="26" t="s">
        <v>107</v>
      </c>
      <c r="P115" s="26"/>
      <c r="Q115" s="12">
        <v>13</v>
      </c>
      <c r="AK115" s="26" t="s">
        <v>107</v>
      </c>
      <c r="AL115" s="26"/>
      <c r="AM115" s="12">
        <v>13</v>
      </c>
      <c r="AZ115" s="15" t="s">
        <v>84</v>
      </c>
      <c r="BA115" s="15"/>
      <c r="BB115" s="12">
        <v>10</v>
      </c>
      <c r="BC115" s="13">
        <v>6</v>
      </c>
      <c r="BD115" s="12">
        <v>60</v>
      </c>
      <c r="BE115" s="12">
        <f>(BC115*2)+(BD115*2)</f>
        <v>132</v>
      </c>
      <c r="BG115">
        <f>((BC115+BC115+BD115+BD115)*BB118)   +( BB118*  (BC115+BB134+BC115+BB134+BD115+BB134+BB134+BD115))   +   (BB118*      (2*(BC115+BB134*3)) +(2*(BD115+BB134*3)))</f>
        <v>1764.1333333333332</v>
      </c>
    </row>
    <row r="116" spans="5:61" ht="15" thickBot="1">
      <c r="E116" s="26" t="s">
        <v>88</v>
      </c>
      <c r="F116" s="26"/>
      <c r="G116" s="12">
        <f>K114*G115</f>
        <v>6628.3185307179592</v>
      </c>
      <c r="I116" s="9" t="s">
        <v>87</v>
      </c>
      <c r="J116" s="10">
        <f>G116/1000</f>
        <v>6.6283185307179595</v>
      </c>
      <c r="O116" s="26" t="s">
        <v>88</v>
      </c>
      <c r="P116" s="26"/>
      <c r="Q116" s="12">
        <f>T114*Q115*(Q117/Q118)</f>
        <v>203.84</v>
      </c>
      <c r="S116" s="9" t="s">
        <v>87</v>
      </c>
      <c r="T116" s="10">
        <f>Q116/1000</f>
        <v>0.20383999999999999</v>
      </c>
      <c r="AK116" s="26" t="s">
        <v>88</v>
      </c>
      <c r="AL116" s="26"/>
      <c r="AM116" s="12">
        <f>AP114*AM115*(AM117/AM118)</f>
        <v>197.6</v>
      </c>
      <c r="AO116" s="9" t="s">
        <v>87</v>
      </c>
      <c r="AP116" s="10">
        <f>AM116/1000</f>
        <v>0.1976</v>
      </c>
      <c r="AZ116" s="15" t="s">
        <v>107</v>
      </c>
      <c r="BA116" s="15"/>
      <c r="BB116" s="12">
        <v>50</v>
      </c>
    </row>
    <row r="117" spans="5:61" ht="15" thickBot="1">
      <c r="E117" t="s">
        <v>106</v>
      </c>
      <c r="G117">
        <v>3</v>
      </c>
      <c r="I117" t="s">
        <v>122</v>
      </c>
      <c r="J117">
        <f>K114/(2*PI())</f>
        <v>10.549296585513721</v>
      </c>
      <c r="O117" s="26" t="s">
        <v>106</v>
      </c>
      <c r="P117" s="26"/>
      <c r="Q117">
        <v>12</v>
      </c>
      <c r="S117" t="s">
        <v>122</v>
      </c>
      <c r="T117">
        <f>T114/(2*PI())</f>
        <v>0.62388737692022977</v>
      </c>
      <c r="AK117" s="26" t="s">
        <v>106</v>
      </c>
      <c r="AL117" s="26"/>
      <c r="AM117">
        <v>12</v>
      </c>
      <c r="AO117" t="s">
        <v>122</v>
      </c>
      <c r="AP117">
        <f>AP114/(2*PI())</f>
        <v>0.60478878374920231</v>
      </c>
      <c r="AZ117" s="15" t="s">
        <v>137</v>
      </c>
      <c r="BA117" s="15"/>
      <c r="BB117" s="12">
        <f>BE115*BB116*(BB120/BB121)</f>
        <v>6600</v>
      </c>
      <c r="BD117" s="9" t="s">
        <v>140</v>
      </c>
      <c r="BE117" s="10">
        <f>BB117/1000</f>
        <v>6.6</v>
      </c>
      <c r="BG117">
        <f>BG115/1000</f>
        <v>1.7641333333333331</v>
      </c>
    </row>
    <row r="118" spans="5:61">
      <c r="E118" t="s">
        <v>105</v>
      </c>
      <c r="G118">
        <v>3</v>
      </c>
      <c r="O118" s="26" t="s">
        <v>105</v>
      </c>
      <c r="P118" s="26"/>
      <c r="Q118">
        <v>3</v>
      </c>
      <c r="AK118" s="26" t="s">
        <v>105</v>
      </c>
      <c r="AL118" s="26"/>
      <c r="AM118">
        <v>3</v>
      </c>
      <c r="AZ118" s="23" t="s">
        <v>169</v>
      </c>
      <c r="BB118">
        <f>BB115/BB134</f>
        <v>5.5555555555555554</v>
      </c>
    </row>
    <row r="119" spans="5:61">
      <c r="E119" s="12" t="s">
        <v>100</v>
      </c>
      <c r="F119">
        <v>2</v>
      </c>
      <c r="G119" t="s">
        <v>101</v>
      </c>
      <c r="O119" s="16" t="s">
        <v>100</v>
      </c>
      <c r="P119">
        <v>2</v>
      </c>
      <c r="Q119" t="s">
        <v>101</v>
      </c>
      <c r="AK119" s="16" t="s">
        <v>100</v>
      </c>
      <c r="AL119">
        <v>2</v>
      </c>
      <c r="AM119" t="s">
        <v>101</v>
      </c>
    </row>
    <row r="120" spans="5:61" ht="15" thickBot="1">
      <c r="E120" s="12" t="s">
        <v>94</v>
      </c>
      <c r="F120">
        <v>12</v>
      </c>
      <c r="G120" t="s">
        <v>97</v>
      </c>
      <c r="O120" s="12" t="s">
        <v>94</v>
      </c>
      <c r="P120">
        <f>11.5/10</f>
        <v>1.1499999999999999</v>
      </c>
      <c r="V120" t="s">
        <v>161</v>
      </c>
      <c r="Y120">
        <v>9.0999999999999998E-2</v>
      </c>
      <c r="AK120" s="12" t="s">
        <v>94</v>
      </c>
      <c r="AL120">
        <v>12</v>
      </c>
      <c r="AM120" t="s">
        <v>97</v>
      </c>
      <c r="AZ120" s="15" t="s">
        <v>106</v>
      </c>
      <c r="BA120" s="15"/>
      <c r="BB120">
        <v>3</v>
      </c>
      <c r="BF120" t="s">
        <v>161</v>
      </c>
      <c r="BI120">
        <v>7.4</v>
      </c>
    </row>
    <row r="121" spans="5:61" ht="15" thickBot="1">
      <c r="E121" s="12" t="s">
        <v>35</v>
      </c>
      <c r="F121">
        <v>1.4</v>
      </c>
      <c r="G121" t="s">
        <v>97</v>
      </c>
      <c r="O121" s="12" t="s">
        <v>35</v>
      </c>
      <c r="P121">
        <v>0.5</v>
      </c>
      <c r="Q121">
        <v>3.9</v>
      </c>
      <c r="V121" s="9" t="s">
        <v>160</v>
      </c>
      <c r="W121" s="22"/>
      <c r="X121" s="22"/>
      <c r="Y121" s="10">
        <f>P123/Y120</f>
        <v>31.927518793516821</v>
      </c>
      <c r="AK121" s="12" t="s">
        <v>35</v>
      </c>
      <c r="AL121">
        <v>2</v>
      </c>
      <c r="AM121" t="s">
        <v>97</v>
      </c>
      <c r="AZ121" s="15" t="s">
        <v>105</v>
      </c>
      <c r="BA121" s="15"/>
      <c r="BB121">
        <v>3</v>
      </c>
      <c r="BF121" s="9" t="s">
        <v>160</v>
      </c>
      <c r="BG121" s="22"/>
      <c r="BH121" s="22"/>
      <c r="BI121" s="10">
        <f>BA130/BI120</f>
        <v>67.83998679132344</v>
      </c>
    </row>
    <row r="122" spans="5:61">
      <c r="E122" s="12" t="s">
        <v>93</v>
      </c>
      <c r="F122">
        <f>F120-F121</f>
        <v>10.6</v>
      </c>
      <c r="G122" t="s">
        <v>97</v>
      </c>
      <c r="O122" s="12" t="s">
        <v>93</v>
      </c>
      <c r="P122">
        <f>P120-P121</f>
        <v>0.64999999999999991</v>
      </c>
      <c r="AK122" s="12" t="s">
        <v>93</v>
      </c>
      <c r="AL122">
        <f>AL120-AL121</f>
        <v>10</v>
      </c>
      <c r="AM122" t="s">
        <v>97</v>
      </c>
    </row>
    <row r="123" spans="5:61">
      <c r="E123" s="12" t="s">
        <v>89</v>
      </c>
      <c r="F123">
        <f>F122/(F125)</f>
        <v>30.165317682660437</v>
      </c>
      <c r="G123" t="s">
        <v>97</v>
      </c>
      <c r="O123" s="12" t="s">
        <v>89</v>
      </c>
      <c r="P123" s="17">
        <f>P122/(P125)</f>
        <v>2.9054042102100306</v>
      </c>
      <c r="AK123" s="12" t="s">
        <v>89</v>
      </c>
      <c r="AL123">
        <f>AL122/(AL125)</f>
        <v>46.110058720742195</v>
      </c>
      <c r="AM123" t="s">
        <v>97</v>
      </c>
    </row>
    <row r="124" spans="5:61">
      <c r="E124" s="12" t="s">
        <v>90</v>
      </c>
      <c r="F124">
        <f>((G128)    *  (J116)      ) /(PI() * ((G127/2) * (1/1000))^2    )</f>
        <v>0.17569846456636307</v>
      </c>
      <c r="J124" t="s">
        <v>91</v>
      </c>
      <c r="O124" s="12" t="s">
        <v>90</v>
      </c>
      <c r="P124" s="17">
        <f>((Q128)    *  (T116)      ) /(PI() * ((Q127/2) * (1/1000))^2    )</f>
        <v>0.11186051113228952</v>
      </c>
      <c r="Q124" s="18" t="s">
        <v>108</v>
      </c>
      <c r="T124" t="s">
        <v>91</v>
      </c>
      <c r="AK124" s="12" t="s">
        <v>90</v>
      </c>
      <c r="AL124">
        <f>((AM128)    *  (AP116)      ) /(PI() * ((AM127/2) * (1/1000))^2    )</f>
        <v>0.10843620977109697</v>
      </c>
      <c r="AM124" s="18"/>
      <c r="AP124" t="s">
        <v>91</v>
      </c>
    </row>
    <row r="125" spans="5:61">
      <c r="E125" s="19" t="s">
        <v>110</v>
      </c>
      <c r="F125">
        <f>F124*F119</f>
        <v>0.35139692913272613</v>
      </c>
      <c r="O125" s="19" t="s">
        <v>110</v>
      </c>
      <c r="P125">
        <f>P124*P119</f>
        <v>0.22372102226457904</v>
      </c>
      <c r="AK125" s="19" t="s">
        <v>110</v>
      </c>
      <c r="AL125">
        <f>AL124*AL119</f>
        <v>0.21687241954219394</v>
      </c>
    </row>
    <row r="126" spans="5:61">
      <c r="AZ126" s="16" t="s">
        <v>100</v>
      </c>
      <c r="BA126">
        <v>2</v>
      </c>
      <c r="BB126" t="s">
        <v>101</v>
      </c>
    </row>
    <row r="127" spans="5:61">
      <c r="E127" t="s">
        <v>92</v>
      </c>
      <c r="G127">
        <f>0.91</f>
        <v>0.91</v>
      </c>
      <c r="O127" t="s">
        <v>92</v>
      </c>
      <c r="Q127">
        <f>0.2</f>
        <v>0.2</v>
      </c>
      <c r="AK127" t="s">
        <v>92</v>
      </c>
      <c r="AM127">
        <f>0.2</f>
        <v>0.2</v>
      </c>
      <c r="AZ127" s="12" t="s">
        <v>94</v>
      </c>
      <c r="BA127">
        <v>12</v>
      </c>
      <c r="BB127" t="s">
        <v>97</v>
      </c>
    </row>
    <row r="128" spans="5:61">
      <c r="E128" t="s">
        <v>98</v>
      </c>
      <c r="G128">
        <f>1.724*10^-8</f>
        <v>1.7240000000000001E-8</v>
      </c>
      <c r="O128" t="s">
        <v>98</v>
      </c>
      <c r="Q128">
        <f>1.724*10^-8</f>
        <v>1.7240000000000001E-8</v>
      </c>
      <c r="AK128" t="s">
        <v>98</v>
      </c>
      <c r="AM128">
        <f>1.724*10^-8</f>
        <v>1.7240000000000001E-8</v>
      </c>
      <c r="AZ128" s="12" t="s">
        <v>35</v>
      </c>
      <c r="BA128" s="17">
        <v>0</v>
      </c>
      <c r="BB128" t="s">
        <v>97</v>
      </c>
    </row>
    <row r="129" spans="5:64">
      <c r="E129" t="s">
        <v>99</v>
      </c>
      <c r="G129">
        <f>2.43*10^-8</f>
        <v>2.4300000000000003E-8</v>
      </c>
      <c r="O129" t="s">
        <v>99</v>
      </c>
      <c r="Q129">
        <f>2.43*10^-8</f>
        <v>2.4300000000000003E-8</v>
      </c>
      <c r="AK129" t="s">
        <v>99</v>
      </c>
      <c r="AM129">
        <f>2.43*10^-8</f>
        <v>2.4300000000000003E-8</v>
      </c>
      <c r="AZ129" s="12" t="s">
        <v>93</v>
      </c>
      <c r="BA129">
        <f>BA127-BA128</f>
        <v>12</v>
      </c>
      <c r="BB129" t="s">
        <v>97</v>
      </c>
    </row>
    <row r="130" spans="5:64">
      <c r="AZ130" s="12" t="s">
        <v>89</v>
      </c>
      <c r="BA130">
        <f>BA129/BA132</f>
        <v>502.01590225579349</v>
      </c>
      <c r="BB130" t="s">
        <v>97</v>
      </c>
      <c r="BE130" t="s">
        <v>114</v>
      </c>
    </row>
    <row r="131" spans="5:64">
      <c r="E131" t="s">
        <v>95</v>
      </c>
      <c r="F131">
        <f>F132*F137*F133*F123</f>
        <v>0.21059364538899625</v>
      </c>
      <c r="J131" t="s">
        <v>128</v>
      </c>
      <c r="O131" t="s">
        <v>95</v>
      </c>
      <c r="P131">
        <f>P132*P138*P133*P123</f>
        <v>57.248285389149409</v>
      </c>
      <c r="T131" t="s">
        <v>128</v>
      </c>
      <c r="W131" s="1" t="s">
        <v>117</v>
      </c>
      <c r="AK131" t="s">
        <v>95</v>
      </c>
      <c r="AL131">
        <f>AL132*AL133*AL123</f>
        <v>0.15065338260302477</v>
      </c>
      <c r="AP131" t="s">
        <v>113</v>
      </c>
      <c r="AZ131" s="12" t="s">
        <v>90</v>
      </c>
      <c r="BA131">
        <f>((BB135)    *  (BG117)      ) /(PI() * ((BB134/2) * (1/1000))^2    )</f>
        <v>1.195181262792509E-2</v>
      </c>
      <c r="BB131" s="18"/>
      <c r="BE131" t="s">
        <v>118</v>
      </c>
    </row>
    <row r="132" spans="5:64">
      <c r="E132" t="s">
        <v>96</v>
      </c>
      <c r="F132">
        <f>4*PI()*10^-7</f>
        <v>1.2566370614359173E-6</v>
      </c>
      <c r="O132" t="s">
        <v>96</v>
      </c>
      <c r="P132">
        <f>4*PI()*10^-7</f>
        <v>1.2566370614359173E-6</v>
      </c>
      <c r="AK132" t="s">
        <v>96</v>
      </c>
      <c r="AL132">
        <f>4*PI()*10^-7</f>
        <v>1.2566370614359173E-6</v>
      </c>
      <c r="AZ132" s="19" t="s">
        <v>110</v>
      </c>
      <c r="BA132">
        <f>BA131*BA126</f>
        <v>2.3903625255850179E-2</v>
      </c>
      <c r="BE132" t="s">
        <v>115</v>
      </c>
    </row>
    <row r="133" spans="5:64" ht="15" thickBot="1">
      <c r="E133" t="s">
        <v>112</v>
      </c>
      <c r="F133">
        <f>(G115/(G114/1000))</f>
        <v>5555.5555555555557</v>
      </c>
      <c r="J133" t="s">
        <v>119</v>
      </c>
      <c r="O133" t="s">
        <v>112</v>
      </c>
      <c r="P133">
        <f>(Q116/(Q115/1000))</f>
        <v>15680.000000000002</v>
      </c>
      <c r="T133" t="s">
        <v>119</v>
      </c>
      <c r="AK133" t="s">
        <v>112</v>
      </c>
      <c r="AL133">
        <f>(AM115/(AM114/1000))</f>
        <v>2600</v>
      </c>
      <c r="AP133" t="s">
        <v>119</v>
      </c>
    </row>
    <row r="134" spans="5:64">
      <c r="E134" t="s">
        <v>125</v>
      </c>
      <c r="F134">
        <f>F132*F137*F141</f>
        <v>0.35933065169551659</v>
      </c>
      <c r="J134" t="s">
        <v>126</v>
      </c>
      <c r="O134" t="s">
        <v>125</v>
      </c>
      <c r="P134">
        <f>P132*P138*P145</f>
        <v>9.4927003834048751</v>
      </c>
      <c r="T134" t="s">
        <v>126</v>
      </c>
      <c r="AK134" t="s">
        <v>125</v>
      </c>
      <c r="AL134">
        <f>AL132*AL135*AL138</f>
        <v>0.12455041053266182</v>
      </c>
      <c r="AP134" t="s">
        <v>126</v>
      </c>
      <c r="AZ134" t="s">
        <v>111</v>
      </c>
      <c r="BB134">
        <v>1.8</v>
      </c>
      <c r="BE134" t="s">
        <v>158</v>
      </c>
      <c r="BF134">
        <v>0.7</v>
      </c>
      <c r="BG134">
        <v>0.1</v>
      </c>
      <c r="BH134" s="20">
        <f>BF134/BG134</f>
        <v>6.9999999999999991</v>
      </c>
      <c r="BI134" t="s">
        <v>155</v>
      </c>
      <c r="BL134" s="1" t="s">
        <v>154</v>
      </c>
    </row>
    <row r="135" spans="5:64" ht="15" thickBot="1">
      <c r="E135" t="s">
        <v>133</v>
      </c>
      <c r="F135">
        <f>F132*F137*(G114*10^-3)</f>
        <v>2.2619467105846513E-8</v>
      </c>
      <c r="J135" t="s">
        <v>134</v>
      </c>
      <c r="O135" t="s">
        <v>133</v>
      </c>
      <c r="P135">
        <f>P132*P138*(P146*10^-3)</f>
        <v>9.4927003834048753E-3</v>
      </c>
      <c r="T135" t="s">
        <v>134</v>
      </c>
      <c r="AK135" t="s">
        <v>127</v>
      </c>
      <c r="AL135">
        <v>1</v>
      </c>
      <c r="AZ135" t="s">
        <v>98</v>
      </c>
      <c r="BB135">
        <f>1.724*10^-8</f>
        <v>1.7240000000000001E-8</v>
      </c>
      <c r="BE135" t="s">
        <v>159</v>
      </c>
      <c r="BF135">
        <v>1</v>
      </c>
      <c r="BG135">
        <v>9.0999999999999998E-2</v>
      </c>
      <c r="BH135" s="21">
        <f>BF135/BG135</f>
        <v>10.989010989010989</v>
      </c>
      <c r="BI135" t="s">
        <v>157</v>
      </c>
      <c r="BL135" s="1" t="s">
        <v>156</v>
      </c>
    </row>
    <row r="136" spans="5:64" ht="15" thickBot="1">
      <c r="E136" t="s">
        <v>135</v>
      </c>
      <c r="F136">
        <f>F132*F137*F140</f>
        <v>5.7189249421773602E-4</v>
      </c>
      <c r="J136" t="s">
        <v>136</v>
      </c>
      <c r="O136" t="s">
        <v>135</v>
      </c>
      <c r="P136">
        <f>(P132*P138)      *    ((Q115*P123 *     (Q117/Q118))/(Q114/1000))</f>
        <v>37.9708015336195</v>
      </c>
      <c r="T136" t="s">
        <v>136</v>
      </c>
      <c r="U136" t="s">
        <v>142</v>
      </c>
      <c r="AZ136" t="s">
        <v>99</v>
      </c>
      <c r="BB136">
        <f>2.43*10^-8</f>
        <v>2.4300000000000003E-8</v>
      </c>
      <c r="BF136" s="9">
        <f>BF134/BF135</f>
        <v>0.7</v>
      </c>
      <c r="BG136" s="10">
        <f>BG134/BG135</f>
        <v>1.098901098901099</v>
      </c>
    </row>
    <row r="137" spans="5:64">
      <c r="E137" t="s">
        <v>127</v>
      </c>
      <c r="F137">
        <v>1</v>
      </c>
      <c r="O137" t="s">
        <v>143</v>
      </c>
      <c r="P137">
        <f>(P132*P138)      *    ((Q115*P123/     (Q117/Q118))/(Q114/1000))</f>
        <v>2.3731750958512188</v>
      </c>
      <c r="T137" t="s">
        <v>145</v>
      </c>
      <c r="U137" t="s">
        <v>144</v>
      </c>
      <c r="AK137" t="s">
        <v>116</v>
      </c>
      <c r="AL137">
        <f>AM115*AL123/AP116</f>
        <v>3033.5564947856706</v>
      </c>
    </row>
    <row r="138" spans="5:64">
      <c r="O138" t="s">
        <v>127</v>
      </c>
      <c r="P138">
        <v>1000</v>
      </c>
      <c r="AK138" t="s">
        <v>124</v>
      </c>
      <c r="AL138">
        <f>AM115*AL123/(AP117*10^-2)</f>
        <v>99114.067501989965</v>
      </c>
      <c r="AP138" t="s">
        <v>123</v>
      </c>
      <c r="AZ138" t="s">
        <v>95</v>
      </c>
      <c r="BA138">
        <f>BA139*BA145*BA140*BA130</f>
        <v>315.42589410241055</v>
      </c>
      <c r="BE138" t="s">
        <v>128</v>
      </c>
      <c r="BH138" s="1" t="s">
        <v>117</v>
      </c>
    </row>
    <row r="139" spans="5:64">
      <c r="AZ139" t="s">
        <v>96</v>
      </c>
      <c r="BA139">
        <f>4*PI()*10^-7</f>
        <v>1.2566370614359173E-6</v>
      </c>
    </row>
    <row r="140" spans="5:64">
      <c r="E140" t="s">
        <v>116</v>
      </c>
      <c r="F140">
        <f>G115*F123/J116</f>
        <v>455.09758685952926</v>
      </c>
      <c r="J140" t="s">
        <v>130</v>
      </c>
      <c r="AZ140" t="s">
        <v>112</v>
      </c>
      <c r="BA140">
        <f>(BB116/(BB115/1000))</f>
        <v>5000</v>
      </c>
      <c r="BE140" t="s">
        <v>119</v>
      </c>
    </row>
    <row r="141" spans="5:64">
      <c r="E141" t="s">
        <v>124</v>
      </c>
      <c r="F141">
        <f>G115*F123/(J117*10^-3)</f>
        <v>285946.24710886803</v>
      </c>
      <c r="J141" t="s">
        <v>141</v>
      </c>
      <c r="O141" t="s">
        <v>146</v>
      </c>
      <c r="P141">
        <f>((P137^2)*Z141)/(2*P138*P132)</f>
        <v>7.0399500444605516E-5</v>
      </c>
      <c r="T141" t="s">
        <v>149</v>
      </c>
      <c r="X141" t="s">
        <v>147</v>
      </c>
      <c r="Y141" t="s">
        <v>148</v>
      </c>
      <c r="Z141">
        <f>PI()*(Q127/2000)^2</f>
        <v>3.1415926535897931E-8</v>
      </c>
      <c r="AZ141" t="s">
        <v>125</v>
      </c>
      <c r="BA141">
        <f>BA139*BA145*BA152</f>
        <v>477.9180213672887</v>
      </c>
      <c r="BE141" t="s">
        <v>126</v>
      </c>
    </row>
    <row r="142" spans="5:64">
      <c r="E142" t="s">
        <v>131</v>
      </c>
      <c r="F142">
        <f>G116*F124/(G114*10^-3)</f>
        <v>64699.188250217609</v>
      </c>
      <c r="J142" t="s">
        <v>132</v>
      </c>
      <c r="AZ142" t="s">
        <v>133</v>
      </c>
      <c r="BA142">
        <f>BA139*BA145*(BB115*10^-2)</f>
        <v>1.2566370614359175E-5</v>
      </c>
      <c r="BE142" t="s">
        <v>134</v>
      </c>
    </row>
    <row r="143" spans="5:64">
      <c r="AZ143" t="s">
        <v>135</v>
      </c>
      <c r="BA143">
        <f>BA139*BA145*BA151</f>
        <v>0.47791802136728873</v>
      </c>
      <c r="BE143" t="s">
        <v>136</v>
      </c>
      <c r="BF143" t="s">
        <v>142</v>
      </c>
    </row>
    <row r="144" spans="5:64">
      <c r="O144" t="s">
        <v>116</v>
      </c>
      <c r="P144">
        <f>Q115*(Q117/Q118)*P123/T116</f>
        <v>741.17454342092628</v>
      </c>
      <c r="T144" t="s">
        <v>130</v>
      </c>
      <c r="AZ144" t="s">
        <v>143</v>
      </c>
      <c r="BA144">
        <f>BA139*BA145*((BB116*BA130)/(BB115/1000))</f>
        <v>315.42589410241055</v>
      </c>
      <c r="BE144" t="s">
        <v>145</v>
      </c>
      <c r="BF144" t="s">
        <v>144</v>
      </c>
    </row>
    <row r="145" spans="3:58">
      <c r="O145" t="s">
        <v>124</v>
      </c>
      <c r="P145">
        <f>Q115*P123/(Q114*10^-3)</f>
        <v>7554.05094654608</v>
      </c>
      <c r="T145" t="s">
        <v>141</v>
      </c>
      <c r="AZ145" t="s">
        <v>127</v>
      </c>
      <c r="BA145">
        <v>100</v>
      </c>
    </row>
    <row r="146" spans="3:58">
      <c r="O146" t="s">
        <v>131</v>
      </c>
      <c r="P146">
        <f>Q115*P123/(Q114*10^-3)</f>
        <v>7554.05094654608</v>
      </c>
      <c r="T146" t="s">
        <v>132</v>
      </c>
    </row>
    <row r="147" spans="3:58">
      <c r="AZ147" t="s">
        <v>147</v>
      </c>
      <c r="BA147">
        <f>PI()*(BB134/2000)^2</f>
        <v>2.5446900494077322E-6</v>
      </c>
      <c r="BE147" t="s">
        <v>148</v>
      </c>
      <c r="BF147" t="s">
        <v>150</v>
      </c>
    </row>
    <row r="148" spans="3:58" ht="15" thickBot="1">
      <c r="C148" t="s">
        <v>152</v>
      </c>
      <c r="V148" t="s">
        <v>153</v>
      </c>
      <c r="AZ148" t="s">
        <v>146</v>
      </c>
      <c r="BA148">
        <f>((BA144^2)*BA147)/(2*BA145*BA139)</f>
        <v>1007.3716335368391</v>
      </c>
      <c r="BE148" t="s">
        <v>149</v>
      </c>
    </row>
    <row r="149" spans="3:58" ht="15" thickBot="1">
      <c r="D149" t="s">
        <v>79</v>
      </c>
      <c r="E149" s="11" t="s">
        <v>86</v>
      </c>
      <c r="W149" t="s">
        <v>79</v>
      </c>
      <c r="X149" s="11" t="s">
        <v>86</v>
      </c>
    </row>
    <row r="150" spans="3:58">
      <c r="G150" s="14" t="s">
        <v>80</v>
      </c>
      <c r="H150" s="12" t="s">
        <v>81</v>
      </c>
      <c r="I150" s="12" t="s">
        <v>82</v>
      </c>
      <c r="J150" s="12" t="s">
        <v>83</v>
      </c>
      <c r="Z150" s="14" t="s">
        <v>80</v>
      </c>
      <c r="AA150" s="12" t="s">
        <v>81</v>
      </c>
      <c r="AB150" s="12" t="s">
        <v>82</v>
      </c>
      <c r="AC150" s="12" t="s">
        <v>83</v>
      </c>
    </row>
    <row r="151" spans="3:58">
      <c r="E151" s="15" t="s">
        <v>84</v>
      </c>
      <c r="F151" s="15"/>
      <c r="G151" s="12">
        <v>10</v>
      </c>
      <c r="H151" s="13">
        <v>3</v>
      </c>
      <c r="I151" s="12">
        <v>3</v>
      </c>
      <c r="J151" s="12">
        <f>(H151*2)+(I151*2)</f>
        <v>12</v>
      </c>
      <c r="X151" s="15" t="s">
        <v>84</v>
      </c>
      <c r="Y151" s="15"/>
      <c r="Z151" s="12">
        <v>10</v>
      </c>
      <c r="AA151" s="13">
        <v>10</v>
      </c>
      <c r="AB151" s="12">
        <f>30+(4/(AA151))*2</f>
        <v>30.8</v>
      </c>
      <c r="AC151" s="12">
        <f>(AA151*2)+(AB151*2)</f>
        <v>81.599999999999994</v>
      </c>
      <c r="AE151">
        <f>(((AA151*2)+(AB151*2))*Z154)   +( Z154*  (2*(AA151+Z170)+(2*(AB151+Z170))))   +   (Z154*      (2*(AA151+Z170*2)) +(2*(AB151+Z170*2)))</f>
        <v>2761.5428571428574</v>
      </c>
      <c r="AZ151" t="s">
        <v>116</v>
      </c>
      <c r="BA151">
        <f>BB116*(BB120/BB121)*BA130/BE117</f>
        <v>3803.1507746651023</v>
      </c>
      <c r="BE151" t="s">
        <v>130</v>
      </c>
    </row>
    <row r="152" spans="3:58" ht="15" thickBot="1">
      <c r="E152" s="15" t="s">
        <v>107</v>
      </c>
      <c r="F152" s="15"/>
      <c r="G152" s="12">
        <v>28</v>
      </c>
      <c r="X152" s="15" t="s">
        <v>107</v>
      </c>
      <c r="Y152" s="15"/>
      <c r="Z152" s="12">
        <v>50</v>
      </c>
      <c r="AZ152" t="s">
        <v>124</v>
      </c>
      <c r="BA152">
        <f>BB116*BA130/(BE117*10^-3)</f>
        <v>3803150.7746651024</v>
      </c>
      <c r="BE152" t="s">
        <v>141</v>
      </c>
    </row>
    <row r="153" spans="3:58" ht="15" thickBot="1">
      <c r="E153" s="15" t="s">
        <v>137</v>
      </c>
      <c r="F153" s="15"/>
      <c r="G153" s="12">
        <f>J151*G152*(G156/G157)</f>
        <v>336</v>
      </c>
      <c r="I153" s="9" t="s">
        <v>140</v>
      </c>
      <c r="J153" s="10">
        <f>G153/1000</f>
        <v>0.33600000000000002</v>
      </c>
      <c r="X153" s="15" t="s">
        <v>137</v>
      </c>
      <c r="Y153" s="15"/>
      <c r="Z153" s="12">
        <f>(AC151*Z152*(Z156/Z157))+300</f>
        <v>4380</v>
      </c>
      <c r="AB153" s="9" t="s">
        <v>140</v>
      </c>
      <c r="AC153" s="10">
        <f>Z153/1000</f>
        <v>4.38</v>
      </c>
      <c r="AE153">
        <f>AE151/1000</f>
        <v>2.7615428571428575</v>
      </c>
      <c r="AZ153" t="s">
        <v>131</v>
      </c>
      <c r="BA153">
        <f>(BB116)*BA130/(BB115*10^-3)</f>
        <v>2510079.5112789674</v>
      </c>
      <c r="BE153" t="s">
        <v>132</v>
      </c>
    </row>
    <row r="154" spans="3:58">
      <c r="D154" t="s">
        <v>138</v>
      </c>
      <c r="G154">
        <f>(2*PI()*J155*G152) *(G156/G157)</f>
        <v>1759.2918860102841</v>
      </c>
      <c r="I154" t="s">
        <v>139</v>
      </c>
      <c r="J154">
        <f>G154/1000</f>
        <v>1.7592918860102842</v>
      </c>
      <c r="X154" s="23" t="s">
        <v>169</v>
      </c>
      <c r="Z154">
        <f>Z151/Z170</f>
        <v>14.285714285714286</v>
      </c>
    </row>
    <row r="155" spans="3:58">
      <c r="I155" t="s">
        <v>129</v>
      </c>
      <c r="J155">
        <v>10</v>
      </c>
      <c r="K155">
        <f>K151/(2*PI())</f>
        <v>0</v>
      </c>
    </row>
    <row r="156" spans="3:58" ht="15" thickBot="1">
      <c r="E156" s="15" t="s">
        <v>106</v>
      </c>
      <c r="F156" s="15"/>
      <c r="G156">
        <v>3</v>
      </c>
      <c r="X156" s="15" t="s">
        <v>106</v>
      </c>
      <c r="Y156" s="15"/>
      <c r="Z156">
        <v>3</v>
      </c>
      <c r="AD156" t="s">
        <v>161</v>
      </c>
      <c r="AG156">
        <v>1</v>
      </c>
    </row>
    <row r="157" spans="3:58" ht="15" thickBot="1">
      <c r="E157" s="15" t="s">
        <v>105</v>
      </c>
      <c r="F157" s="15"/>
      <c r="G157">
        <v>3</v>
      </c>
      <c r="X157" s="15" t="s">
        <v>105</v>
      </c>
      <c r="Y157" s="15"/>
      <c r="Z157">
        <v>3</v>
      </c>
      <c r="AD157" s="9" t="s">
        <v>160</v>
      </c>
      <c r="AE157" s="22"/>
      <c r="AF157" s="22"/>
      <c r="AG157" s="10">
        <f>Y166/AG156</f>
        <v>1.9357555516410621</v>
      </c>
    </row>
    <row r="162" spans="5:36">
      <c r="E162" s="16" t="s">
        <v>100</v>
      </c>
      <c r="F162">
        <v>2</v>
      </c>
      <c r="G162" t="s">
        <v>101</v>
      </c>
      <c r="X162" s="16" t="s">
        <v>100</v>
      </c>
      <c r="Y162">
        <v>2</v>
      </c>
      <c r="Z162" t="s">
        <v>101</v>
      </c>
    </row>
    <row r="163" spans="5:36">
      <c r="E163" s="12" t="s">
        <v>94</v>
      </c>
      <c r="F163">
        <v>12</v>
      </c>
      <c r="G163" t="s">
        <v>97</v>
      </c>
      <c r="X163" s="12" t="s">
        <v>94</v>
      </c>
      <c r="Y163">
        <f>11.5/10</f>
        <v>1.1499999999999999</v>
      </c>
      <c r="Z163" t="s">
        <v>97</v>
      </c>
    </row>
    <row r="164" spans="5:36">
      <c r="E164" s="12" t="s">
        <v>35</v>
      </c>
      <c r="F164" s="17">
        <v>0</v>
      </c>
      <c r="G164" t="s">
        <v>97</v>
      </c>
      <c r="X164" s="12" t="s">
        <v>35</v>
      </c>
      <c r="Y164" s="17">
        <v>0.1</v>
      </c>
      <c r="Z164" t="s">
        <v>97</v>
      </c>
    </row>
    <row r="165" spans="5:36">
      <c r="E165" s="12" t="s">
        <v>93</v>
      </c>
      <c r="F165">
        <f>F163-F164</f>
        <v>12</v>
      </c>
      <c r="G165" t="s">
        <v>97</v>
      </c>
      <c r="X165" s="12" t="s">
        <v>93</v>
      </c>
      <c r="Y165">
        <f>Y163-Y164</f>
        <v>1.0499999999999998</v>
      </c>
      <c r="Z165" t="s">
        <v>97</v>
      </c>
    </row>
    <row r="166" spans="5:36">
      <c r="E166" s="12" t="s">
        <v>89</v>
      </c>
      <c r="F166">
        <f>F165/F168</f>
        <v>398.62145764081623</v>
      </c>
      <c r="G166" t="s">
        <v>97</v>
      </c>
      <c r="J166" t="s">
        <v>114</v>
      </c>
      <c r="X166" s="12" t="s">
        <v>89</v>
      </c>
      <c r="Y166">
        <f>Y165/Y168</f>
        <v>1.9357555516410621</v>
      </c>
      <c r="Z166" t="s">
        <v>97</v>
      </c>
      <c r="AC166" t="s">
        <v>114</v>
      </c>
    </row>
    <row r="167" spans="5:36">
      <c r="E167" s="12" t="s">
        <v>90</v>
      </c>
      <c r="F167">
        <f>((G171)    *  (J153)      ) /(PI() * ((G170/2) * (1/1000))^2    )</f>
        <v>1.5051874115132027E-2</v>
      </c>
      <c r="G167" s="18"/>
      <c r="J167" t="s">
        <v>118</v>
      </c>
      <c r="X167" s="12" t="s">
        <v>90</v>
      </c>
      <c r="Y167">
        <f>((Z171)    *  (AC153)      ) /(PI() * ((Z170/2) * (1/1000))^2    )</f>
        <v>0.19621193042939963</v>
      </c>
      <c r="Z167" s="18"/>
      <c r="AC167" t="s">
        <v>118</v>
      </c>
    </row>
    <row r="168" spans="5:36">
      <c r="E168" s="19" t="s">
        <v>110</v>
      </c>
      <c r="F168">
        <f>F167*F162</f>
        <v>3.0103748230264054E-2</v>
      </c>
      <c r="J168" t="s">
        <v>115</v>
      </c>
      <c r="X168" s="19" t="s">
        <v>110</v>
      </c>
      <c r="Y168">
        <f>(Y167*Y162)+0.1+0.05</f>
        <v>0.54242386085879934</v>
      </c>
      <c r="AC168" t="s">
        <v>115</v>
      </c>
    </row>
    <row r="169" spans="5:36" ht="15" thickBot="1"/>
    <row r="170" spans="5:36">
      <c r="E170" t="s">
        <v>111</v>
      </c>
      <c r="G170">
        <v>0.7</v>
      </c>
      <c r="X170" t="s">
        <v>111</v>
      </c>
      <c r="Z170">
        <v>0.7</v>
      </c>
      <c r="AC170" t="s">
        <v>158</v>
      </c>
      <c r="AD170">
        <v>0.7</v>
      </c>
      <c r="AE170">
        <v>0.1</v>
      </c>
      <c r="AF170" s="20">
        <f>AD170/AE170</f>
        <v>6.9999999999999991</v>
      </c>
      <c r="AG170" t="s">
        <v>155</v>
      </c>
      <c r="AJ170" s="1" t="s">
        <v>154</v>
      </c>
    </row>
    <row r="171" spans="5:36" ht="15" thickBot="1">
      <c r="E171" t="s">
        <v>98</v>
      </c>
      <c r="G171">
        <f>1.724*10^-8</f>
        <v>1.7240000000000001E-8</v>
      </c>
      <c r="X171" t="s">
        <v>98</v>
      </c>
      <c r="Z171">
        <f>1.724*10^-8</f>
        <v>1.7240000000000001E-8</v>
      </c>
      <c r="AC171" t="s">
        <v>159</v>
      </c>
      <c r="AD171">
        <v>1</v>
      </c>
      <c r="AE171">
        <v>9.0999999999999998E-2</v>
      </c>
      <c r="AF171" s="21">
        <f>AD171/AE171</f>
        <v>10.989010989010989</v>
      </c>
      <c r="AG171" t="s">
        <v>157</v>
      </c>
      <c r="AJ171" s="1" t="s">
        <v>156</v>
      </c>
    </row>
    <row r="172" spans="5:36" ht="15" thickBot="1">
      <c r="E172" t="s">
        <v>99</v>
      </c>
      <c r="G172">
        <f>2.43*10^-8</f>
        <v>2.4300000000000003E-8</v>
      </c>
      <c r="X172" t="s">
        <v>99</v>
      </c>
      <c r="Z172">
        <f>2.43*10^-8</f>
        <v>2.4300000000000003E-8</v>
      </c>
      <c r="AD172" s="9">
        <f>AD170/AD171</f>
        <v>0.7</v>
      </c>
      <c r="AE172" s="10">
        <f>AE170/AE171</f>
        <v>1.098901098901099</v>
      </c>
    </row>
    <row r="174" spans="5:36">
      <c r="E174" t="s">
        <v>95</v>
      </c>
      <c r="F174">
        <f>F175*F181*F176*F166</f>
        <v>140.25829920341604</v>
      </c>
      <c r="J174" t="s">
        <v>128</v>
      </c>
      <c r="M174" s="1" t="s">
        <v>117</v>
      </c>
      <c r="X174" t="s">
        <v>95</v>
      </c>
      <c r="Y174">
        <f>Y175*Y181*Y176*Y166</f>
        <v>1.8244066260543654</v>
      </c>
      <c r="AC174" t="s">
        <v>128</v>
      </c>
      <c r="AF174" s="1" t="s">
        <v>117</v>
      </c>
    </row>
    <row r="175" spans="5:36">
      <c r="E175" t="s">
        <v>96</v>
      </c>
      <c r="F175">
        <f>4*PI()*10^-7</f>
        <v>1.2566370614359173E-6</v>
      </c>
      <c r="X175" t="s">
        <v>96</v>
      </c>
      <c r="Y175">
        <f>4*PI()*10^-7</f>
        <v>1.2566370614359173E-6</v>
      </c>
    </row>
    <row r="176" spans="5:36">
      <c r="E176" t="s">
        <v>112</v>
      </c>
      <c r="F176">
        <f>(G152/(G151/1000))</f>
        <v>2800</v>
      </c>
      <c r="J176" t="s">
        <v>119</v>
      </c>
      <c r="X176" t="s">
        <v>112</v>
      </c>
      <c r="Y176">
        <f>(Z152/(Z151/1000))</f>
        <v>5000</v>
      </c>
      <c r="AC176" t="s">
        <v>119</v>
      </c>
    </row>
    <row r="177" spans="5:30">
      <c r="E177" t="s">
        <v>125</v>
      </c>
      <c r="F177">
        <f>F175*F181*F188</f>
        <v>140.25829920341604</v>
      </c>
      <c r="J177" t="s">
        <v>126</v>
      </c>
      <c r="X177" t="s">
        <v>125</v>
      </c>
      <c r="Y177">
        <f>Y175*Y181*Y188</f>
        <v>4.1653119316309715</v>
      </c>
      <c r="AC177" t="s">
        <v>126</v>
      </c>
    </row>
    <row r="178" spans="5:30">
      <c r="E178" t="s">
        <v>133</v>
      </c>
      <c r="F178">
        <f>F175*F181*(G151*10^-2)</f>
        <v>1.2566370614359175E-5</v>
      </c>
      <c r="J178" t="s">
        <v>134</v>
      </c>
      <c r="X178" t="s">
        <v>133</v>
      </c>
      <c r="Y178">
        <f>Y175*Y181*(Z151*10^-2)</f>
        <v>1.8849555921538762E-5</v>
      </c>
      <c r="AC178" t="s">
        <v>134</v>
      </c>
    </row>
    <row r="179" spans="5:30">
      <c r="E179" t="s">
        <v>135</v>
      </c>
      <c r="F179">
        <f>F175*F181*F187</f>
        <v>0.7972429152816326</v>
      </c>
      <c r="J179" t="s">
        <v>136</v>
      </c>
      <c r="K179" t="s">
        <v>142</v>
      </c>
      <c r="X179" t="s">
        <v>135</v>
      </c>
      <c r="Y179">
        <f>Y175*Y181*Y187</f>
        <v>4.1653119316309717E-3</v>
      </c>
      <c r="AC179" t="s">
        <v>136</v>
      </c>
      <c r="AD179" t="s">
        <v>142</v>
      </c>
    </row>
    <row r="180" spans="5:30">
      <c r="E180" t="s">
        <v>143</v>
      </c>
      <c r="F180">
        <f>F175*F181*((G152*F166)/(G151/1000))</f>
        <v>140.25829920341604</v>
      </c>
      <c r="J180" t="s">
        <v>145</v>
      </c>
      <c r="K180" t="s">
        <v>144</v>
      </c>
      <c r="X180" t="s">
        <v>143</v>
      </c>
      <c r="Y180">
        <f>Y175*Y181*((Z152*Y166)/(Z151/1000))</f>
        <v>1.8244066260543657</v>
      </c>
      <c r="AC180" t="s">
        <v>145</v>
      </c>
      <c r="AD180" t="s">
        <v>144</v>
      </c>
    </row>
    <row r="181" spans="5:30">
      <c r="E181" t="s">
        <v>127</v>
      </c>
      <c r="F181">
        <v>100</v>
      </c>
      <c r="X181" t="s">
        <v>127</v>
      </c>
      <c r="Y181">
        <v>150</v>
      </c>
    </row>
    <row r="183" spans="5:30">
      <c r="E183" t="s">
        <v>147</v>
      </c>
      <c r="F183">
        <f>PI()*(G170/2000)^2</f>
        <v>3.8484510006474966E-7</v>
      </c>
      <c r="J183" t="s">
        <v>148</v>
      </c>
      <c r="K183" t="s">
        <v>150</v>
      </c>
      <c r="X183" t="s">
        <v>147</v>
      </c>
      <c r="Y183">
        <f>PI()*(Z170/2000)^2</f>
        <v>3.8484510006474966E-7</v>
      </c>
      <c r="AC183" t="s">
        <v>148</v>
      </c>
      <c r="AD183" t="s">
        <v>150</v>
      </c>
    </row>
    <row r="184" spans="5:30">
      <c r="E184" t="s">
        <v>146</v>
      </c>
      <c r="F184">
        <f>((F180^2)*F183)/(2*F181*F175)</f>
        <v>30.123347946134807</v>
      </c>
      <c r="J184" t="s">
        <v>149</v>
      </c>
      <c r="X184" t="s">
        <v>146</v>
      </c>
      <c r="Y184">
        <f>((Y180^2)*Y183)/(2*Y181*Y175)</f>
        <v>3.3978024442158881E-3</v>
      </c>
      <c r="AC184" t="s">
        <v>149</v>
      </c>
    </row>
    <row r="187" spans="5:30">
      <c r="E187" t="s">
        <v>116</v>
      </c>
      <c r="F187">
        <f>G152*(G156/G157)*F166/J154</f>
        <v>6344.2575406032483</v>
      </c>
      <c r="J187" t="s">
        <v>130</v>
      </c>
      <c r="X187" t="s">
        <v>116</v>
      </c>
      <c r="Y187">
        <f>Z152*(Z156/Z157)*Y166/AC153</f>
        <v>22.097666114623998</v>
      </c>
      <c r="AC187" t="s">
        <v>130</v>
      </c>
    </row>
    <row r="188" spans="5:30">
      <c r="E188" t="s">
        <v>124</v>
      </c>
      <c r="F188">
        <f>G152*F166/(J155*10^-3)</f>
        <v>1116140.0813942854</v>
      </c>
      <c r="J188" t="s">
        <v>141</v>
      </c>
      <c r="X188" t="s">
        <v>124</v>
      </c>
      <c r="Y188">
        <f>Z152*Y166/(AC153*10^-3)</f>
        <v>22097.666114623997</v>
      </c>
      <c r="AC188" t="s">
        <v>141</v>
      </c>
    </row>
    <row r="189" spans="5:30">
      <c r="E189" t="s">
        <v>131</v>
      </c>
      <c r="F189">
        <f>(G152)*F166/(G151*10^-3)</f>
        <v>1116140.0813942854</v>
      </c>
      <c r="J189" t="s">
        <v>132</v>
      </c>
      <c r="X189" t="s">
        <v>131</v>
      </c>
      <c r="Y189">
        <f>(Z152)*Y166/(Z151*10^-3)</f>
        <v>9678.7777582053113</v>
      </c>
      <c r="AC189" t="s">
        <v>132</v>
      </c>
    </row>
    <row r="196" spans="3:11" ht="15" thickBot="1">
      <c r="C196" t="s">
        <v>151</v>
      </c>
    </row>
    <row r="197" spans="3:11" ht="15" thickBot="1">
      <c r="D197" t="s">
        <v>79</v>
      </c>
      <c r="E197" s="11" t="s">
        <v>86</v>
      </c>
    </row>
    <row r="198" spans="3:11">
      <c r="G198" s="14" t="s">
        <v>80</v>
      </c>
      <c r="H198" s="12" t="s">
        <v>81</v>
      </c>
      <c r="I198" s="12" t="s">
        <v>82</v>
      </c>
      <c r="J198" s="12" t="s">
        <v>83</v>
      </c>
    </row>
    <row r="199" spans="3:11">
      <c r="E199" s="15" t="s">
        <v>84</v>
      </c>
      <c r="F199" s="15"/>
      <c r="G199" s="12">
        <v>10</v>
      </c>
      <c r="H199" s="13">
        <v>3</v>
      </c>
      <c r="I199" s="12">
        <v>3</v>
      </c>
      <c r="J199" s="12">
        <f>(H199*2)+(I199*2)</f>
        <v>12</v>
      </c>
    </row>
    <row r="200" spans="3:11" ht="15" thickBot="1">
      <c r="E200" s="15" t="s">
        <v>107</v>
      </c>
      <c r="F200" s="15"/>
      <c r="G200" s="12">
        <v>18</v>
      </c>
    </row>
    <row r="201" spans="3:11" ht="15" thickBot="1">
      <c r="E201" s="15" t="s">
        <v>137</v>
      </c>
      <c r="F201" s="15"/>
      <c r="G201" s="12">
        <f>J199*G200*(G204/G205)</f>
        <v>216</v>
      </c>
      <c r="I201" s="9" t="s">
        <v>140</v>
      </c>
      <c r="J201" s="10">
        <v>0.8</v>
      </c>
    </row>
    <row r="202" spans="3:11">
      <c r="D202" t="s">
        <v>138</v>
      </c>
      <c r="G202">
        <f>(2*PI()*J203*G200) *(G204/G205)</f>
        <v>1130.9733552923256</v>
      </c>
      <c r="I202" t="s">
        <v>139</v>
      </c>
      <c r="J202">
        <f>G202/1000</f>
        <v>1.1309733552923256</v>
      </c>
    </row>
    <row r="203" spans="3:11">
      <c r="I203" t="s">
        <v>129</v>
      </c>
      <c r="J203">
        <v>10</v>
      </c>
      <c r="K203">
        <f>K199/(2*PI())</f>
        <v>0</v>
      </c>
    </row>
    <row r="204" spans="3:11">
      <c r="E204" s="15" t="s">
        <v>106</v>
      </c>
      <c r="F204" s="15"/>
      <c r="G204">
        <v>3</v>
      </c>
    </row>
    <row r="205" spans="3:11">
      <c r="E205" s="15" t="s">
        <v>105</v>
      </c>
      <c r="F205" s="15"/>
      <c r="G205">
        <v>3</v>
      </c>
    </row>
    <row r="210" spans="5:13">
      <c r="E210" s="16" t="s">
        <v>100</v>
      </c>
      <c r="F210">
        <v>2</v>
      </c>
      <c r="G210" t="s">
        <v>101</v>
      </c>
    </row>
    <row r="211" spans="5:13">
      <c r="E211" s="12" t="s">
        <v>94</v>
      </c>
      <c r="F211">
        <v>12</v>
      </c>
      <c r="G211" t="s">
        <v>97</v>
      </c>
    </row>
    <row r="212" spans="5:13">
      <c r="E212" s="12" t="s">
        <v>35</v>
      </c>
      <c r="F212" s="17">
        <v>0</v>
      </c>
      <c r="G212" t="s">
        <v>97</v>
      </c>
    </row>
    <row r="213" spans="5:13">
      <c r="E213" s="12" t="s">
        <v>93</v>
      </c>
      <c r="F213">
        <f>F211-F212</f>
        <v>12</v>
      </c>
      <c r="G213" t="s">
        <v>97</v>
      </c>
    </row>
    <row r="214" spans="5:13">
      <c r="E214" s="12" t="s">
        <v>89</v>
      </c>
      <c r="F214">
        <f>F213/F216</f>
        <v>595.33545239430691</v>
      </c>
      <c r="G214" t="s">
        <v>97</v>
      </c>
      <c r="J214" t="s">
        <v>114</v>
      </c>
    </row>
    <row r="215" spans="5:13">
      <c r="E215" s="12" t="s">
        <v>90</v>
      </c>
      <c r="F215">
        <f>((G219)    *  (J201)      ) /(PI() * ((G218/2) * (1/1000))^2    )</f>
        <v>1.007835158458871E-2</v>
      </c>
      <c r="G215" s="18"/>
      <c r="J215" t="s">
        <v>118</v>
      </c>
    </row>
    <row r="216" spans="5:13">
      <c r="E216" s="19" t="s">
        <v>110</v>
      </c>
      <c r="F216">
        <f>F215*F210</f>
        <v>2.015670316917742E-2</v>
      </c>
      <c r="J216" t="s">
        <v>115</v>
      </c>
    </row>
    <row r="218" spans="5:13">
      <c r="E218" t="s">
        <v>111</v>
      </c>
      <c r="G218">
        <v>1.32</v>
      </c>
    </row>
    <row r="219" spans="5:13">
      <c r="E219" t="s">
        <v>98</v>
      </c>
      <c r="G219">
        <f>1.724*10^-8</f>
        <v>1.7240000000000001E-8</v>
      </c>
    </row>
    <row r="220" spans="5:13">
      <c r="E220" t="s">
        <v>99</v>
      </c>
      <c r="G220">
        <f>2.43*10^-8</f>
        <v>2.4300000000000003E-8</v>
      </c>
    </row>
    <row r="222" spans="5:13">
      <c r="E222" t="s">
        <v>95</v>
      </c>
      <c r="F222">
        <f>F223*F229*F224*F214</f>
        <v>3.7406029673270214E-3</v>
      </c>
      <c r="J222" t="s">
        <v>128</v>
      </c>
      <c r="M222" s="1" t="s">
        <v>117</v>
      </c>
    </row>
    <row r="223" spans="5:13">
      <c r="E223" t="s">
        <v>96</v>
      </c>
      <c r="F223">
        <f>4*PI()*10^-7</f>
        <v>1.2566370614359173E-6</v>
      </c>
    </row>
    <row r="224" spans="5:13">
      <c r="E224" t="s">
        <v>112</v>
      </c>
      <c r="F224">
        <v>5</v>
      </c>
      <c r="J224" t="s">
        <v>119</v>
      </c>
    </row>
    <row r="225" spans="5:11">
      <c r="E225" t="s">
        <v>125</v>
      </c>
      <c r="F225">
        <f>F223*F229*F236</f>
        <v>1.3466170682377279</v>
      </c>
      <c r="J225" t="s">
        <v>126</v>
      </c>
    </row>
    <row r="226" spans="5:11">
      <c r="E226" t="s">
        <v>133</v>
      </c>
      <c r="F226">
        <f>F223*F229*(G199*10^-2)</f>
        <v>1.2566370614359172E-7</v>
      </c>
      <c r="J226" t="s">
        <v>134</v>
      </c>
    </row>
    <row r="227" spans="5:11">
      <c r="E227" t="s">
        <v>135</v>
      </c>
      <c r="F227">
        <f>F223*F229*F235</f>
        <v>1.1906709047886139E-2</v>
      </c>
      <c r="J227" t="s">
        <v>136</v>
      </c>
      <c r="K227" t="s">
        <v>142</v>
      </c>
    </row>
    <row r="228" spans="5:11">
      <c r="E228" t="s">
        <v>143</v>
      </c>
      <c r="F228">
        <f>F223*F229*((G200*F214)/(G199/1000))</f>
        <v>1.3466170682377279</v>
      </c>
      <c r="J228" t="s">
        <v>145</v>
      </c>
      <c r="K228" t="s">
        <v>144</v>
      </c>
    </row>
    <row r="229" spans="5:11">
      <c r="E229" t="s">
        <v>127</v>
      </c>
      <c r="F229">
        <v>1</v>
      </c>
    </row>
    <row r="231" spans="5:11">
      <c r="E231" t="s">
        <v>147</v>
      </c>
      <c r="F231">
        <f>PI()*(G218/2000)^2</f>
        <v>1.3684777599037139E-6</v>
      </c>
      <c r="J231" t="s">
        <v>148</v>
      </c>
      <c r="K231" t="s">
        <v>150</v>
      </c>
    </row>
    <row r="232" spans="5:11">
      <c r="E232" t="s">
        <v>146</v>
      </c>
      <c r="F232">
        <f>((F228^2)*F231)/(2*F229*F223)</f>
        <v>0.98738406425146485</v>
      </c>
      <c r="J232" t="s">
        <v>149</v>
      </c>
    </row>
    <row r="235" spans="5:11">
      <c r="E235" t="s">
        <v>116</v>
      </c>
      <c r="F235">
        <f>G200*(G204/G205)*F214/J202</f>
        <v>9475.0580046403684</v>
      </c>
      <c r="J235" t="s">
        <v>130</v>
      </c>
    </row>
    <row r="236" spans="5:11">
      <c r="E236" t="s">
        <v>124</v>
      </c>
      <c r="F236">
        <f>G200*F214/(J203*10^-3)</f>
        <v>1071603.8143097525</v>
      </c>
      <c r="J236" t="s">
        <v>141</v>
      </c>
    </row>
    <row r="237" spans="5:11">
      <c r="E237" t="s">
        <v>131</v>
      </c>
      <c r="F237">
        <f>G202*F214/(G199*10^-3)</f>
        <v>67330853.411886379</v>
      </c>
      <c r="J237" t="s">
        <v>132</v>
      </c>
    </row>
    <row r="248" spans="3:3">
      <c r="C248" s="1" t="s">
        <v>162</v>
      </c>
    </row>
    <row r="249" spans="3:3">
      <c r="C249" t="s">
        <v>163</v>
      </c>
    </row>
    <row r="250" spans="3:3">
      <c r="C250" t="s">
        <v>164</v>
      </c>
    </row>
    <row r="253" spans="3:3">
      <c r="C253" s="1" t="s">
        <v>165</v>
      </c>
    </row>
    <row r="254" spans="3:3" ht="16.2">
      <c r="C254" t="s">
        <v>166</v>
      </c>
    </row>
    <row r="258" spans="3:3">
      <c r="C258" s="1" t="s">
        <v>167</v>
      </c>
    </row>
    <row r="259" spans="3:3">
      <c r="C259" t="s">
        <v>168</v>
      </c>
    </row>
  </sheetData>
  <mergeCells count="14">
    <mergeCell ref="C98:C99"/>
    <mergeCell ref="O117:P117"/>
    <mergeCell ref="O118:P118"/>
    <mergeCell ref="AK114:AL114"/>
    <mergeCell ref="AK115:AL115"/>
    <mergeCell ref="AK116:AL116"/>
    <mergeCell ref="AK117:AL117"/>
    <mergeCell ref="AK118:AL118"/>
    <mergeCell ref="E116:F116"/>
    <mergeCell ref="E115:F115"/>
    <mergeCell ref="E114:F114"/>
    <mergeCell ref="O114:P114"/>
    <mergeCell ref="O115:P115"/>
    <mergeCell ref="O116:P116"/>
  </mergeCells>
  <hyperlinks>
    <hyperlink ref="V6" r:id="rId1" xr:uid="{ABC3A435-B1B5-4ADE-8995-32B666B52930}"/>
    <hyperlink ref="D45" r:id="rId2" xr:uid="{30279D9E-C0C7-4DB1-B524-56F0E43E6352}"/>
    <hyperlink ref="E87" r:id="rId3" xr:uid="{B3FD3783-F41D-4BFF-B225-62C91710B70D}"/>
    <hyperlink ref="E88" r:id="rId4" xr:uid="{76FD13A0-29B1-4AD4-B9A9-8325770F6864}"/>
    <hyperlink ref="M174" r:id="rId5" xr:uid="{79751D78-4AEC-44DE-AC1E-BA8958ECC5B8}"/>
    <hyperlink ref="D98" r:id="rId6" xr:uid="{B7D8395C-6009-4E53-8ACA-509F289CCAF3}"/>
    <hyperlink ref="W131" r:id="rId7" xr:uid="{9A1BFDCD-A14D-44F9-B3A7-1B4DD4B5B216}"/>
    <hyperlink ref="M222" r:id="rId8" xr:uid="{C536941B-66A7-404F-9D95-B6AFA64846EF}"/>
    <hyperlink ref="AF174" r:id="rId9" xr:uid="{3C76D7FA-957A-4187-B2E1-EB69B73B03E9}"/>
    <hyperlink ref="AJ170" r:id="rId10" xr:uid="{F1F26B2B-D79F-4806-A039-EA4CD8A46268}"/>
    <hyperlink ref="AJ171" r:id="rId11" xr:uid="{B293B513-DBD9-4A0D-B1AE-D724A5084D91}"/>
    <hyperlink ref="C248" r:id="rId12" xr:uid="{34C3619C-5BDB-4DD3-ABB1-AB540962BC3B}"/>
    <hyperlink ref="C253" r:id="rId13" xr:uid="{28DDD3BE-8F1C-4618-B1F7-71E2A155EC29}"/>
    <hyperlink ref="C258" r:id="rId14" xr:uid="{09DBD9BD-FCC2-4D91-BFC9-A835238C46D9}"/>
    <hyperlink ref="BH138" r:id="rId15" xr:uid="{E997DB2D-53B9-4758-8A48-DA0245BFB158}"/>
    <hyperlink ref="BL134" r:id="rId16" xr:uid="{C19962B2-E084-4855-AA70-DF3367C31B2C}"/>
    <hyperlink ref="BL135" r:id="rId17" xr:uid="{2151C8A9-E276-49A9-B3F5-BF2B8ECE7620}"/>
    <hyperlink ref="AX111" r:id="rId18" xr:uid="{79B7784E-B59D-40D1-BC55-2DEF7EF5CC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2023-11-17T15:16:23Z</dcterms:created>
  <dcterms:modified xsi:type="dcterms:W3CDTF">2023-12-10T11:32:25Z</dcterms:modified>
</cp:coreProperties>
</file>