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son\Desktop\Portfolio\Vikings Recommendation Panel (Excel)\"/>
    </mc:Choice>
  </mc:AlternateContent>
  <xr:revisionPtr revIDLastSave="0" documentId="13_ncr:1_{3660617A-7D8B-4FCE-987F-8E406BB07926}" xr6:coauthVersionLast="47" xr6:coauthVersionMax="47" xr10:uidLastSave="{00000000-0000-0000-0000-000000000000}"/>
  <bookViews>
    <workbookView xWindow="-108" yWindow="-108" windowWidth="23256" windowHeight="12576" xr2:uid="{4F5ACD07-B22D-4472-8BD2-305FD97417D0}"/>
  </bookViews>
  <sheets>
    <sheet name="2021 Wins - Losses Model" sheetId="1" r:id="rId1"/>
    <sheet name="Winning % Scatterplots" sheetId="2" r:id="rId2"/>
    <sheet name="Winning % By Year" sheetId="3" r:id="rId3"/>
    <sheet name="Winning % By Year Over 0.500" sheetId="4" r:id="rId4"/>
    <sheet name="Net Yards Per Pass Attempt" sheetId="5" r:id="rId5"/>
    <sheet name="Points Per 100 Yards Given Up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5" i="3"/>
  <c r="B16" i="3"/>
  <c r="B17" i="3"/>
  <c r="B18" i="3"/>
  <c r="B19" i="3"/>
  <c r="B20" i="3"/>
  <c r="B21" i="3"/>
  <c r="B22" i="3"/>
  <c r="E9" i="3"/>
  <c r="E8" i="3"/>
  <c r="E7" i="3"/>
  <c r="E6" i="3"/>
  <c r="E5" i="3"/>
  <c r="E4" i="3"/>
  <c r="E3" i="3"/>
  <c r="E2" i="3"/>
  <c r="G10" i="5"/>
  <c r="C10" i="5"/>
  <c r="F2" i="5"/>
  <c r="F3" i="5"/>
  <c r="F4" i="5"/>
  <c r="F5" i="5"/>
  <c r="F6" i="5"/>
  <c r="F7" i="5"/>
  <c r="F8" i="5"/>
  <c r="F9" i="5"/>
  <c r="D15" i="5"/>
  <c r="N2" i="5"/>
  <c r="M20" i="5"/>
  <c r="M12" i="5"/>
  <c r="N4" i="5"/>
  <c r="N3" i="5"/>
  <c r="O19" i="5"/>
  <c r="O18" i="5"/>
  <c r="O11" i="5"/>
  <c r="O10" i="5"/>
  <c r="M19" i="5"/>
  <c r="M18" i="5"/>
  <c r="M11" i="5"/>
  <c r="M10" i="5"/>
  <c r="G14" i="5" s="1"/>
  <c r="O20" i="5"/>
  <c r="O12" i="5"/>
  <c r="P4" i="5"/>
  <c r="E21" i="8"/>
  <c r="D13" i="4"/>
  <c r="D14" i="4"/>
  <c r="D15" i="4" s="1"/>
  <c r="D12" i="4"/>
  <c r="D22" i="3"/>
  <c r="C22" i="3"/>
  <c r="D21" i="3"/>
  <c r="C21" i="3"/>
  <c r="D20" i="3"/>
  <c r="C20" i="3"/>
  <c r="D19" i="3"/>
  <c r="C19" i="3"/>
  <c r="D18" i="3"/>
  <c r="C18" i="3"/>
  <c r="P2" i="5"/>
  <c r="P3" i="5"/>
  <c r="J10" i="4"/>
  <c r="G10" i="4"/>
  <c r="D10" i="4"/>
  <c r="C10" i="4"/>
  <c r="B10" i="4"/>
  <c r="H10" i="4"/>
  <c r="I10" i="4"/>
  <c r="F10" i="4"/>
  <c r="E10" i="4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" i="8"/>
  <c r="D9" i="3"/>
  <c r="D8" i="3"/>
  <c r="D7" i="3"/>
  <c r="D6" i="3"/>
  <c r="D5" i="3"/>
  <c r="D4" i="3"/>
  <c r="D3" i="3"/>
  <c r="D2" i="3"/>
  <c r="J3" i="4"/>
  <c r="J4" i="4"/>
  <c r="J5" i="4"/>
  <c r="J6" i="4"/>
  <c r="J7" i="4"/>
  <c r="J8" i="4"/>
  <c r="J9" i="4"/>
  <c r="J2" i="4"/>
  <c r="C5" i="3"/>
  <c r="C7" i="3"/>
  <c r="C9" i="3"/>
  <c r="C8" i="3"/>
  <c r="C3" i="3"/>
  <c r="C4" i="3"/>
  <c r="C6" i="3"/>
  <c r="C2" i="3"/>
  <c r="G3" i="4"/>
  <c r="G4" i="4"/>
  <c r="G5" i="4"/>
  <c r="G6" i="4"/>
  <c r="G7" i="4"/>
  <c r="G8" i="4"/>
  <c r="G9" i="4"/>
  <c r="G2" i="4"/>
  <c r="D3" i="4"/>
  <c r="D4" i="4"/>
  <c r="D5" i="4"/>
  <c r="D6" i="4"/>
  <c r="D7" i="4"/>
  <c r="D8" i="4"/>
  <c r="D9" i="4"/>
  <c r="D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0" i="1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N5" i="5" l="1"/>
  <c r="M22" i="5" s="1"/>
  <c r="P5" i="5"/>
  <c r="N7" i="5"/>
  <c r="N8" i="5" s="1"/>
  <c r="P6" i="5"/>
  <c r="P7" i="5"/>
  <c r="N6" i="5"/>
  <c r="F2" i="8"/>
  <c r="F12" i="8"/>
  <c r="F18" i="8"/>
  <c r="F10" i="8"/>
</calcChain>
</file>

<file path=xl/sharedStrings.xml><?xml version="1.0" encoding="utf-8"?>
<sst xmlns="http://schemas.openxmlformats.org/spreadsheetml/2006/main" count="178" uniqueCount="132">
  <si>
    <t>Team Name</t>
  </si>
  <si>
    <t>Wins</t>
  </si>
  <si>
    <t>Losses</t>
  </si>
  <si>
    <t>Winning Percentage</t>
  </si>
  <si>
    <t>Yards per play</t>
  </si>
  <si>
    <t>Turnovers</t>
  </si>
  <si>
    <t>Penalty Yards</t>
  </si>
  <si>
    <t>Pressure Rate</t>
  </si>
  <si>
    <t>Opponent Yards per play</t>
  </si>
  <si>
    <t>Opponent Turnovers</t>
  </si>
  <si>
    <t>Arizona</t>
  </si>
  <si>
    <t>Atlanta</t>
  </si>
  <si>
    <t>Baltimore</t>
  </si>
  <si>
    <t>Buffalo</t>
  </si>
  <si>
    <t>Carolina</t>
  </si>
  <si>
    <t>Chicago</t>
  </si>
  <si>
    <t>Cincinnati</t>
  </si>
  <si>
    <t>Dallas</t>
  </si>
  <si>
    <t>Denver</t>
  </si>
  <si>
    <t>Detroit</t>
  </si>
  <si>
    <t>Green Bay</t>
  </si>
  <si>
    <t>Houston</t>
  </si>
  <si>
    <t>Indianapolis</t>
  </si>
  <si>
    <t>Jacksonville</t>
  </si>
  <si>
    <t>Kansas City</t>
  </si>
  <si>
    <t>Cleveland</t>
  </si>
  <si>
    <t>Las Vegas</t>
  </si>
  <si>
    <t>LA Chargers</t>
  </si>
  <si>
    <t>LA Rams</t>
  </si>
  <si>
    <t>Miami</t>
  </si>
  <si>
    <t>Minnesota</t>
  </si>
  <si>
    <t>New England</t>
  </si>
  <si>
    <t>New Orleans</t>
  </si>
  <si>
    <t>NY Giants</t>
  </si>
  <si>
    <t>NY Jets</t>
  </si>
  <si>
    <t>Philadelphia</t>
  </si>
  <si>
    <t>Pittsburgh</t>
  </si>
  <si>
    <t>San Francisco</t>
  </si>
  <si>
    <t>Seattle</t>
  </si>
  <si>
    <t>Tampa bay</t>
  </si>
  <si>
    <t>Tennessee</t>
  </si>
  <si>
    <t>Washington</t>
  </si>
  <si>
    <t>Ties</t>
  </si>
  <si>
    <t>Net Yards per Pass Attempt</t>
  </si>
  <si>
    <t>Yards per carry</t>
  </si>
  <si>
    <t>Opponent Net Yards Per Pass Attempt</t>
  </si>
  <si>
    <t>Points Scored</t>
  </si>
  <si>
    <t>Points given up</t>
  </si>
  <si>
    <t>Total yards</t>
  </si>
  <si>
    <t>Yards Given Up</t>
  </si>
  <si>
    <t>Time of possession</t>
  </si>
  <si>
    <t>Defensive Points per 100 yards</t>
  </si>
  <si>
    <t>Year</t>
  </si>
  <si>
    <t>Vikings</t>
  </si>
  <si>
    <t>Vikings Wins</t>
  </si>
  <si>
    <t>Vikings Loss</t>
  </si>
  <si>
    <t>Super Bowl Winner Wins</t>
  </si>
  <si>
    <t>Super Bowl Winner Losses</t>
  </si>
  <si>
    <t>Super Bowl Winner Percentage</t>
  </si>
  <si>
    <t>Vikings over 0.500 Win %</t>
  </si>
  <si>
    <t>2018 Vikings</t>
  </si>
  <si>
    <t>2019 Vikings</t>
  </si>
  <si>
    <t>2020 Vikings</t>
  </si>
  <si>
    <t>2021 Vikings</t>
  </si>
  <si>
    <t>2014 Vikings</t>
  </si>
  <si>
    <t>2015 Vikings</t>
  </si>
  <si>
    <t>2016 Vikings</t>
  </si>
  <si>
    <t>2017 Vikings</t>
  </si>
  <si>
    <t>2014 New England</t>
  </si>
  <si>
    <t>2015 Denver</t>
  </si>
  <si>
    <t>2016 New England</t>
  </si>
  <si>
    <t>2017 Philadelphia</t>
  </si>
  <si>
    <t>2018 New England</t>
  </si>
  <si>
    <t>2019 Kansas City</t>
  </si>
  <si>
    <t>2021 LA Rams</t>
  </si>
  <si>
    <t>2020 Tampa Bay</t>
  </si>
  <si>
    <t>Kirk Enters</t>
  </si>
  <si>
    <t>Pass Play Call Percentage</t>
  </si>
  <si>
    <t>Super Bowl Winner</t>
  </si>
  <si>
    <t>Explosive Play Rate</t>
  </si>
  <si>
    <t>Success Rate</t>
  </si>
  <si>
    <t>Super Bowl Runner Up</t>
  </si>
  <si>
    <t>Super Bowl Runner Up Losses</t>
  </si>
  <si>
    <t>Super Bowl Runner Up Wins</t>
  </si>
  <si>
    <t>Super Bowl Runner Up Winning Percentage</t>
  </si>
  <si>
    <t>2014 Seattle</t>
  </si>
  <si>
    <t>2015 Carolina</t>
  </si>
  <si>
    <t>2017 New England</t>
  </si>
  <si>
    <t>2018 LA Rams</t>
  </si>
  <si>
    <t>2019 San Francisco</t>
  </si>
  <si>
    <t>2020 Kansas City</t>
  </si>
  <si>
    <t>2021 Cincinnati</t>
  </si>
  <si>
    <t>2016 Atlanta</t>
  </si>
  <si>
    <t>Avg Pass %</t>
  </si>
  <si>
    <t>Avg Net Yards:</t>
  </si>
  <si>
    <t>Points Against</t>
  </si>
  <si>
    <t>Kirk Years ('17-'21)</t>
  </si>
  <si>
    <t>Column1</t>
  </si>
  <si>
    <t>Column2</t>
  </si>
  <si>
    <t>Column3</t>
  </si>
  <si>
    <t>Pass %</t>
  </si>
  <si>
    <t>Average</t>
  </si>
  <si>
    <t>AVERAGE</t>
  </si>
  <si>
    <t>Points per 100 Yards Given Up</t>
  </si>
  <si>
    <t>Column4</t>
  </si>
  <si>
    <t>Avg PP 100 Yards Given Up Vikings</t>
  </si>
  <si>
    <t>Avg PP 100 Yards Given Up Super Bowl Winner</t>
  </si>
  <si>
    <t>Avg PP 100 Yards Given Up Runner Up</t>
  </si>
  <si>
    <t>2017 line</t>
  </si>
  <si>
    <t>2020 Tampa</t>
  </si>
  <si>
    <t>Super Bowl Winner (Average)</t>
  </si>
  <si>
    <t>Super Bowl Runner up (Average)</t>
  </si>
  <si>
    <t>Vikings Net Yards / Pass Attempt</t>
  </si>
  <si>
    <t>Super Bowl Winner NY/A</t>
  </si>
  <si>
    <t>Super Bowl Runner Up NY/A</t>
  </si>
  <si>
    <t>Vikings yard per play</t>
  </si>
  <si>
    <t>Super Bowl Winner Y/P</t>
  </si>
  <si>
    <t>Super Bowl Runner up Y/p</t>
  </si>
  <si>
    <t>Avg Yard / Play</t>
  </si>
  <si>
    <t>Difference</t>
  </si>
  <si>
    <t>Difference net yard</t>
  </si>
  <si>
    <t>Difference yard / play</t>
  </si>
  <si>
    <t>Super Bowl Winner Pass %</t>
  </si>
  <si>
    <t>Super Bowl Runner Up Pass %</t>
  </si>
  <si>
    <t>Difference Pass %</t>
  </si>
  <si>
    <t>% Less than super bowl contender yard / play</t>
  </si>
  <si>
    <t>% Less than super bowl contender ny/a</t>
  </si>
  <si>
    <t>Net Yard / Pass Attemp</t>
  </si>
  <si>
    <t>Super Bowl Team</t>
  </si>
  <si>
    <t>Before Kirk</t>
  </si>
  <si>
    <t>2014-2021</t>
  </si>
  <si>
    <t>Super Bowl Teams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</si>
</sst>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1" applyNumberFormat="1" applyFont="1"/>
    <xf numFmtId="0" fontId="0" fillId="0" borderId="0" xfId="1" applyNumberFormat="1" applyFont="1"/>
    <xf numFmtId="0" fontId="0" fillId="0" borderId="0" xfId="0" applyNumberFormat="1"/>
    <xf numFmtId="0" fontId="0" fillId="2" borderId="0" xfId="0" applyFill="1"/>
    <xf numFmtId="0" fontId="0" fillId="0" borderId="0" xfId="0" applyFill="1"/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10" fontId="0" fillId="0" borderId="0" xfId="1" applyNumberFormat="1" applyFont="1" applyBorder="1"/>
    <xf numFmtId="10" fontId="3" fillId="0" borderId="1" xfId="1" applyNumberFormat="1" applyFont="1" applyBorder="1"/>
    <xf numFmtId="2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0" formatCode="General"/>
    </dxf>
    <dxf>
      <numFmt numFmtId="14" formatCode="0.00%"/>
    </dxf>
    <dxf>
      <numFmt numFmtId="13" formatCode="0%"/>
    </dxf>
    <dxf>
      <numFmt numFmtId="13" formatCode="0%"/>
    </dxf>
    <dxf>
      <numFmt numFmtId="14" formatCode="0.00%"/>
    </dxf>
    <dxf>
      <numFmt numFmtId="0" formatCode="General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colors>
    <mruColors>
      <color rgb="FFA7BBCB"/>
      <color rgb="FFB78428"/>
      <color rgb="FF3E567C"/>
      <color rgb="FFCC5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/>
                </a:solidFill>
              </a:rPr>
              <a:t>Yards per play Vs Winning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364206135734748E-2"/>
          <c:y val="0.17151290407120434"/>
          <c:w val="0.80531001493894727"/>
          <c:h val="0.666872707558789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'2021 Wins - Losses Model'!$F$1</c:f>
              <c:strCache>
                <c:ptCount val="1"/>
                <c:pt idx="0">
                  <c:v>Yards per play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'2021 Wins - Losses Model'!$F$2:$F$33</c:f>
              <c:numCache>
                <c:formatCode>General</c:formatCode>
                <c:ptCount val="32"/>
                <c:pt idx="0">
                  <c:v>5.6</c:v>
                </c:pt>
                <c:pt idx="1">
                  <c:v>5.0999999999999996</c:v>
                </c:pt>
                <c:pt idx="2">
                  <c:v>5.4</c:v>
                </c:pt>
                <c:pt idx="3">
                  <c:v>5.7</c:v>
                </c:pt>
                <c:pt idx="4">
                  <c:v>4.5999999999999996</c:v>
                </c:pt>
                <c:pt idx="5">
                  <c:v>4.9000000000000004</c:v>
                </c:pt>
                <c:pt idx="6">
                  <c:v>5.9</c:v>
                </c:pt>
                <c:pt idx="7">
                  <c:v>5.5</c:v>
                </c:pt>
                <c:pt idx="8">
                  <c:v>6</c:v>
                </c:pt>
                <c:pt idx="9">
                  <c:v>5.4</c:v>
                </c:pt>
                <c:pt idx="10">
                  <c:v>5.2</c:v>
                </c:pt>
                <c:pt idx="11">
                  <c:v>5.8</c:v>
                </c:pt>
                <c:pt idx="12">
                  <c:v>4.7</c:v>
                </c:pt>
                <c:pt idx="13">
                  <c:v>5.6</c:v>
                </c:pt>
                <c:pt idx="14">
                  <c:v>5</c:v>
                </c:pt>
                <c:pt idx="15">
                  <c:v>5.9</c:v>
                </c:pt>
                <c:pt idx="16">
                  <c:v>5.9</c:v>
                </c:pt>
                <c:pt idx="17">
                  <c:v>6</c:v>
                </c:pt>
                <c:pt idx="18">
                  <c:v>5.7</c:v>
                </c:pt>
                <c:pt idx="19">
                  <c:v>4.8</c:v>
                </c:pt>
                <c:pt idx="20">
                  <c:v>5.7</c:v>
                </c:pt>
                <c:pt idx="21">
                  <c:v>5.7</c:v>
                </c:pt>
                <c:pt idx="22">
                  <c:v>4.9000000000000004</c:v>
                </c:pt>
                <c:pt idx="23">
                  <c:v>4.7</c:v>
                </c:pt>
                <c:pt idx="24">
                  <c:v>5</c:v>
                </c:pt>
                <c:pt idx="25">
                  <c:v>5.7</c:v>
                </c:pt>
                <c:pt idx="26">
                  <c:v>4.8</c:v>
                </c:pt>
                <c:pt idx="27">
                  <c:v>6.1</c:v>
                </c:pt>
                <c:pt idx="28">
                  <c:v>5.8</c:v>
                </c:pt>
                <c:pt idx="29">
                  <c:v>6.1</c:v>
                </c:pt>
                <c:pt idx="30">
                  <c:v>5.0999999999999996</c:v>
                </c:pt>
                <c:pt idx="31">
                  <c:v>5.0999999999999996</c:v>
                </c:pt>
              </c:numCache>
            </c:numRef>
          </c:xVal>
          <c:yVal>
            <c:numRef>
              <c:f>'2021 Wins - Losses Model'!$E$2:$E$33</c:f>
              <c:numCache>
                <c:formatCode>0.00%</c:formatCode>
                <c:ptCount val="32"/>
                <c:pt idx="0">
                  <c:v>0.6470588235294118</c:v>
                </c:pt>
                <c:pt idx="1">
                  <c:v>0.41176470588235292</c:v>
                </c:pt>
                <c:pt idx="2">
                  <c:v>0.47058823529411764</c:v>
                </c:pt>
                <c:pt idx="3">
                  <c:v>0.6470588235294118</c:v>
                </c:pt>
                <c:pt idx="4">
                  <c:v>0.29411764705882354</c:v>
                </c:pt>
                <c:pt idx="5">
                  <c:v>0.35294117647058826</c:v>
                </c:pt>
                <c:pt idx="6">
                  <c:v>0.58823529411764708</c:v>
                </c:pt>
                <c:pt idx="7">
                  <c:v>0.47058823529411764</c:v>
                </c:pt>
                <c:pt idx="8">
                  <c:v>0.70588235294117652</c:v>
                </c:pt>
                <c:pt idx="9">
                  <c:v>0.41176470588235292</c:v>
                </c:pt>
                <c:pt idx="10">
                  <c:v>0.20588235294117646</c:v>
                </c:pt>
                <c:pt idx="11">
                  <c:v>0.76470588235294112</c:v>
                </c:pt>
                <c:pt idx="12">
                  <c:v>0.23529411764705882</c:v>
                </c:pt>
                <c:pt idx="13">
                  <c:v>0.52941176470588236</c:v>
                </c:pt>
                <c:pt idx="14">
                  <c:v>0.17647058823529413</c:v>
                </c:pt>
                <c:pt idx="15">
                  <c:v>0.70588235294117652</c:v>
                </c:pt>
                <c:pt idx="16">
                  <c:v>0.52941176470588236</c:v>
                </c:pt>
                <c:pt idx="17">
                  <c:v>0.70588235294117652</c:v>
                </c:pt>
                <c:pt idx="18">
                  <c:v>0.58823529411764708</c:v>
                </c:pt>
                <c:pt idx="19">
                  <c:v>0.52941176470588236</c:v>
                </c:pt>
                <c:pt idx="20">
                  <c:v>0.47058823529411764</c:v>
                </c:pt>
                <c:pt idx="21">
                  <c:v>0.58823529411764708</c:v>
                </c:pt>
                <c:pt idx="22">
                  <c:v>0.52941176470588236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0.52941176470588236</c:v>
                </c:pt>
                <c:pt idx="26">
                  <c:v>0.55882352941176472</c:v>
                </c:pt>
                <c:pt idx="27">
                  <c:v>0.58823529411764708</c:v>
                </c:pt>
                <c:pt idx="28">
                  <c:v>0.41176470588235292</c:v>
                </c:pt>
                <c:pt idx="29">
                  <c:v>0.76470588235294112</c:v>
                </c:pt>
                <c:pt idx="30">
                  <c:v>0.70588235294117652</c:v>
                </c:pt>
                <c:pt idx="31">
                  <c:v>0.41176470588235292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6-4688-A10F-B83885266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30040"/>
        <c:axId val="641130680"/>
      </c:scatterChart>
      <c:valAx>
        <c:axId val="641130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Yards Per Play</a:t>
                </a:r>
              </a:p>
            </c:rich>
          </c:tx>
          <c:layout>
            <c:manualLayout>
              <c:xMode val="edge"/>
              <c:yMode val="edge"/>
              <c:x val="0.4062833740610009"/>
              <c:y val="0.9309906245089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30680"/>
        <c:crosses val="autoZero"/>
        <c:crossBetween val="midCat"/>
      </c:valAx>
      <c:valAx>
        <c:axId val="641130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layout>
            <c:manualLayout>
              <c:xMode val="edge"/>
              <c:yMode val="edge"/>
              <c:x val="0.93305097115802471"/>
              <c:y val="0.30812830978174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30040"/>
        <c:crosses val="autoZero"/>
        <c:crossBetween val="midCat"/>
      </c:valAx>
      <c:spPr>
        <a:solidFill>
          <a:schemeClr val="bg1"/>
        </a:solidFill>
        <a:ln>
          <a:solidFill>
            <a:schemeClr val="bg2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Opponent</a:t>
            </a:r>
            <a:r>
              <a:rPr lang="en-US" b="1" baseline="0">
                <a:solidFill>
                  <a:schemeClr val="accent1"/>
                </a:solidFill>
              </a:rPr>
              <a:t> Points Per 100 Yards By Winning %</a:t>
            </a:r>
            <a:endParaRPr lang="en-US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'2021 Wins - Losses Model'!$T$1</c:f>
              <c:strCache>
                <c:ptCount val="1"/>
                <c:pt idx="0">
                  <c:v>Defensive Points per 100 yards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'2021 Wins - Losses Model'!$T$2:$T$33</c:f>
              <c:numCache>
                <c:formatCode>General</c:formatCode>
                <c:ptCount val="32"/>
                <c:pt idx="0">
                  <c:v>5.7619647355163721</c:v>
                </c:pt>
                <c:pt idx="1">
                  <c:v>8.8884585592563905</c:v>
                </c:pt>
                <c:pt idx="2">
                  <c:v>6.0869565217391299</c:v>
                </c:pt>
                <c:pt idx="3">
                  <c:v>4.4509471738795598</c:v>
                </c:pt>
                <c:pt idx="4">
                  <c:v>7.951190710490061</c:v>
                </c:pt>
                <c:pt idx="5">
                  <c:v>7.7894736842105265</c:v>
                </c:pt>
                <c:pt idx="6">
                  <c:v>6.1187957689178187</c:v>
                </c:pt>
                <c:pt idx="7">
                  <c:v>6.4064928337074774</c:v>
                </c:pt>
                <c:pt idx="8">
                  <c:v>5.1741581153345857</c:v>
                </c:pt>
                <c:pt idx="9">
                  <c:v>5.7315770736917049</c:v>
                </c:pt>
                <c:pt idx="10">
                  <c:v>8.5156819839533178</c:v>
                </c:pt>
                <c:pt idx="11">
                  <c:v>5.9694288012872088</c:v>
                </c:pt>
                <c:pt idx="12">
                  <c:v>9.5620901205838784</c:v>
                </c:pt>
                <c:pt idx="13">
                  <c:v>6.1853923063887475</c:v>
                </c:pt>
                <c:pt idx="14">
                  <c:v>8.803698709304566</c:v>
                </c:pt>
                <c:pt idx="15">
                  <c:v>5.3957900978357554</c:v>
                </c:pt>
                <c:pt idx="16">
                  <c:v>6.9189026228519745</c:v>
                </c:pt>
                <c:pt idx="17">
                  <c:v>5.8814229249011856</c:v>
                </c:pt>
                <c:pt idx="18">
                  <c:v>7.0989650711513583</c:v>
                </c:pt>
                <c:pt idx="19">
                  <c:v>7.1469630197355816</c:v>
                </c:pt>
                <c:pt idx="20">
                  <c:v>6.9066147859922182</c:v>
                </c:pt>
                <c:pt idx="21">
                  <c:v>5.0432756324900136</c:v>
                </c:pt>
                <c:pt idx="22">
                  <c:v>6.4709291095228894</c:v>
                </c:pt>
                <c:pt idx="23">
                  <c:v>8.517608517608517</c:v>
                </c:pt>
                <c:pt idx="24">
                  <c:v>9.67741935483871</c:v>
                </c:pt>
                <c:pt idx="25">
                  <c:v>6.2918777578035625</c:v>
                </c:pt>
                <c:pt idx="26">
                  <c:v>7.4239880619287444</c:v>
                </c:pt>
                <c:pt idx="27">
                  <c:v>5.7147330515108816</c:v>
                </c:pt>
                <c:pt idx="28">
                  <c:v>6.6472938612422805</c:v>
                </c:pt>
                <c:pt idx="29">
                  <c:v>5.1152006955513691</c:v>
                </c:pt>
                <c:pt idx="30">
                  <c:v>6.0803847475094468</c:v>
                </c:pt>
                <c:pt idx="31">
                  <c:v>7.888040712468193</c:v>
                </c:pt>
              </c:numCache>
            </c:numRef>
          </c:xVal>
          <c:yVal>
            <c:numRef>
              <c:f>'2021 Wins - Losses Model'!$E$2:$E$33</c:f>
              <c:numCache>
                <c:formatCode>0.00%</c:formatCode>
                <c:ptCount val="32"/>
                <c:pt idx="0">
                  <c:v>0.6470588235294118</c:v>
                </c:pt>
                <c:pt idx="1">
                  <c:v>0.41176470588235292</c:v>
                </c:pt>
                <c:pt idx="2">
                  <c:v>0.47058823529411764</c:v>
                </c:pt>
                <c:pt idx="3">
                  <c:v>0.6470588235294118</c:v>
                </c:pt>
                <c:pt idx="4">
                  <c:v>0.29411764705882354</c:v>
                </c:pt>
                <c:pt idx="5">
                  <c:v>0.35294117647058826</c:v>
                </c:pt>
                <c:pt idx="6">
                  <c:v>0.58823529411764708</c:v>
                </c:pt>
                <c:pt idx="7">
                  <c:v>0.47058823529411764</c:v>
                </c:pt>
                <c:pt idx="8">
                  <c:v>0.70588235294117652</c:v>
                </c:pt>
                <c:pt idx="9">
                  <c:v>0.41176470588235292</c:v>
                </c:pt>
                <c:pt idx="10">
                  <c:v>0.20588235294117646</c:v>
                </c:pt>
                <c:pt idx="11">
                  <c:v>0.76470588235294112</c:v>
                </c:pt>
                <c:pt idx="12">
                  <c:v>0.23529411764705882</c:v>
                </c:pt>
                <c:pt idx="13">
                  <c:v>0.52941176470588236</c:v>
                </c:pt>
                <c:pt idx="14">
                  <c:v>0.17647058823529413</c:v>
                </c:pt>
                <c:pt idx="15">
                  <c:v>0.70588235294117652</c:v>
                </c:pt>
                <c:pt idx="16">
                  <c:v>0.52941176470588236</c:v>
                </c:pt>
                <c:pt idx="17">
                  <c:v>0.70588235294117652</c:v>
                </c:pt>
                <c:pt idx="18">
                  <c:v>0.58823529411764708</c:v>
                </c:pt>
                <c:pt idx="19">
                  <c:v>0.52941176470588236</c:v>
                </c:pt>
                <c:pt idx="20">
                  <c:v>0.47058823529411764</c:v>
                </c:pt>
                <c:pt idx="21">
                  <c:v>0.58823529411764708</c:v>
                </c:pt>
                <c:pt idx="22">
                  <c:v>0.52941176470588236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0.52941176470588236</c:v>
                </c:pt>
                <c:pt idx="26">
                  <c:v>0.55882352941176472</c:v>
                </c:pt>
                <c:pt idx="27">
                  <c:v>0.58823529411764708</c:v>
                </c:pt>
                <c:pt idx="28">
                  <c:v>0.41176470588235292</c:v>
                </c:pt>
                <c:pt idx="29">
                  <c:v>0.76470588235294112</c:v>
                </c:pt>
                <c:pt idx="30">
                  <c:v>0.70588235294117652</c:v>
                </c:pt>
                <c:pt idx="31">
                  <c:v>0.41176470588235292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16-4F2E-8FD2-5AF87E10A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02768"/>
        <c:axId val="557405008"/>
      </c:scatterChart>
      <c:valAx>
        <c:axId val="55740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 given up / 100 yards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05008"/>
        <c:crosses val="autoZero"/>
        <c:crossBetween val="midCat"/>
      </c:valAx>
      <c:valAx>
        <c:axId val="557405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0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>
                <a:solidFill>
                  <a:schemeClr val="accent1"/>
                </a:solidFill>
              </a:rPr>
              <a:t>Time of Possession By Winning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E-2"/>
          <c:y val="0.17171296296296298"/>
          <c:w val="0.84275218722659673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'2021 Wins - Losses Model'!$S$2:$S$33</c:f>
              <c:numCache>
                <c:formatCode>General</c:formatCode>
                <c:ptCount val="32"/>
                <c:pt idx="0">
                  <c:v>531</c:v>
                </c:pt>
                <c:pt idx="1">
                  <c:v>478</c:v>
                </c:pt>
                <c:pt idx="2">
                  <c:v>565</c:v>
                </c:pt>
                <c:pt idx="3">
                  <c:v>538</c:v>
                </c:pt>
                <c:pt idx="4">
                  <c:v>522</c:v>
                </c:pt>
                <c:pt idx="5">
                  <c:v>515</c:v>
                </c:pt>
                <c:pt idx="6">
                  <c:v>537</c:v>
                </c:pt>
                <c:pt idx="7">
                  <c:v>520</c:v>
                </c:pt>
                <c:pt idx="8">
                  <c:v>521</c:v>
                </c:pt>
                <c:pt idx="9">
                  <c:v>523</c:v>
                </c:pt>
                <c:pt idx="10">
                  <c:v>496</c:v>
                </c:pt>
                <c:pt idx="11">
                  <c:v>560</c:v>
                </c:pt>
                <c:pt idx="12">
                  <c:v>481</c:v>
                </c:pt>
                <c:pt idx="13">
                  <c:v>545</c:v>
                </c:pt>
                <c:pt idx="14">
                  <c:v>465</c:v>
                </c:pt>
                <c:pt idx="15">
                  <c:v>526</c:v>
                </c:pt>
                <c:pt idx="16">
                  <c:v>501</c:v>
                </c:pt>
                <c:pt idx="17">
                  <c:v>493</c:v>
                </c:pt>
                <c:pt idx="18">
                  <c:v>527</c:v>
                </c:pt>
                <c:pt idx="19">
                  <c:v>518</c:v>
                </c:pt>
                <c:pt idx="20">
                  <c:v>503</c:v>
                </c:pt>
                <c:pt idx="21">
                  <c:v>520</c:v>
                </c:pt>
                <c:pt idx="22">
                  <c:v>520</c:v>
                </c:pt>
                <c:pt idx="23">
                  <c:v>488</c:v>
                </c:pt>
                <c:pt idx="24">
                  <c:v>473</c:v>
                </c:pt>
                <c:pt idx="25">
                  <c:v>508</c:v>
                </c:pt>
                <c:pt idx="26">
                  <c:v>509</c:v>
                </c:pt>
                <c:pt idx="27">
                  <c:v>529</c:v>
                </c:pt>
                <c:pt idx="28">
                  <c:v>435</c:v>
                </c:pt>
                <c:pt idx="29">
                  <c:v>518</c:v>
                </c:pt>
                <c:pt idx="30">
                  <c:v>566</c:v>
                </c:pt>
                <c:pt idx="31">
                  <c:v>522</c:v>
                </c:pt>
              </c:numCache>
            </c:numRef>
          </c:xVal>
          <c:yVal>
            <c:numRef>
              <c:f>'2021 Wins - Losses Model'!$E$2:$E$33</c:f>
              <c:numCache>
                <c:formatCode>0.00%</c:formatCode>
                <c:ptCount val="32"/>
                <c:pt idx="0">
                  <c:v>0.6470588235294118</c:v>
                </c:pt>
                <c:pt idx="1">
                  <c:v>0.41176470588235292</c:v>
                </c:pt>
                <c:pt idx="2">
                  <c:v>0.47058823529411764</c:v>
                </c:pt>
                <c:pt idx="3">
                  <c:v>0.6470588235294118</c:v>
                </c:pt>
                <c:pt idx="4">
                  <c:v>0.29411764705882354</c:v>
                </c:pt>
                <c:pt idx="5">
                  <c:v>0.35294117647058826</c:v>
                </c:pt>
                <c:pt idx="6">
                  <c:v>0.58823529411764708</c:v>
                </c:pt>
                <c:pt idx="7">
                  <c:v>0.47058823529411764</c:v>
                </c:pt>
                <c:pt idx="8">
                  <c:v>0.70588235294117652</c:v>
                </c:pt>
                <c:pt idx="9">
                  <c:v>0.41176470588235292</c:v>
                </c:pt>
                <c:pt idx="10">
                  <c:v>0.20588235294117646</c:v>
                </c:pt>
                <c:pt idx="11">
                  <c:v>0.76470588235294112</c:v>
                </c:pt>
                <c:pt idx="12">
                  <c:v>0.23529411764705882</c:v>
                </c:pt>
                <c:pt idx="13">
                  <c:v>0.52941176470588236</c:v>
                </c:pt>
                <c:pt idx="14">
                  <c:v>0.17647058823529413</c:v>
                </c:pt>
                <c:pt idx="15">
                  <c:v>0.70588235294117652</c:v>
                </c:pt>
                <c:pt idx="16">
                  <c:v>0.52941176470588236</c:v>
                </c:pt>
                <c:pt idx="17">
                  <c:v>0.70588235294117652</c:v>
                </c:pt>
                <c:pt idx="18">
                  <c:v>0.58823529411764708</c:v>
                </c:pt>
                <c:pt idx="19">
                  <c:v>0.52941176470588236</c:v>
                </c:pt>
                <c:pt idx="20">
                  <c:v>0.47058823529411764</c:v>
                </c:pt>
                <c:pt idx="21">
                  <c:v>0.58823529411764708</c:v>
                </c:pt>
                <c:pt idx="22">
                  <c:v>0.52941176470588236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0.52941176470588236</c:v>
                </c:pt>
                <c:pt idx="26">
                  <c:v>0.55882352941176472</c:v>
                </c:pt>
                <c:pt idx="27">
                  <c:v>0.58823529411764708</c:v>
                </c:pt>
                <c:pt idx="28">
                  <c:v>0.41176470588235292</c:v>
                </c:pt>
                <c:pt idx="29">
                  <c:v>0.76470588235294112</c:v>
                </c:pt>
                <c:pt idx="30">
                  <c:v>0.70588235294117652</c:v>
                </c:pt>
                <c:pt idx="31">
                  <c:v>0.41176470588235292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F-452D-B0BC-09A9B5C0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514040"/>
        <c:axId val="414511800"/>
      </c:scatterChart>
      <c:valAx>
        <c:axId val="41451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Possession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11800"/>
        <c:crosses val="autoZero"/>
        <c:crossBetween val="midCat"/>
      </c:valAx>
      <c:valAx>
        <c:axId val="414511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layout>
            <c:manualLayout>
              <c:xMode val="edge"/>
              <c:yMode val="edge"/>
              <c:x val="0.95"/>
              <c:y val="0.2652004957713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1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/>
                </a:solidFill>
              </a:rPr>
              <a:t>Yards Given Up By Winning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680664916885389E-2"/>
          <c:y val="0.19432888597258677"/>
          <c:w val="0.84275218722659673"/>
          <c:h val="0.6001002478856809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'2021 Wins - Losses Model'!$R$2:$R$33</c:f>
              <c:numCache>
                <c:formatCode>General</c:formatCode>
                <c:ptCount val="32"/>
                <c:pt idx="0">
                  <c:v>5597</c:v>
                </c:pt>
                <c:pt idx="1">
                  <c:v>6194</c:v>
                </c:pt>
                <c:pt idx="2">
                  <c:v>6178</c:v>
                </c:pt>
                <c:pt idx="3">
                  <c:v>4637</c:v>
                </c:pt>
                <c:pt idx="4">
                  <c:v>5201</c:v>
                </c:pt>
                <c:pt idx="5">
                  <c:v>5384</c:v>
                </c:pt>
                <c:pt idx="6">
                  <c:v>5964</c:v>
                </c:pt>
                <c:pt idx="7">
                  <c:v>5296</c:v>
                </c:pt>
                <c:pt idx="8">
                  <c:v>5967</c:v>
                </c:pt>
                <c:pt idx="9">
                  <c:v>5544</c:v>
                </c:pt>
                <c:pt idx="10">
                  <c:v>6456</c:v>
                </c:pt>
                <c:pt idx="11">
                  <c:v>5579</c:v>
                </c:pt>
                <c:pt idx="12">
                  <c:v>6535</c:v>
                </c:pt>
                <c:pt idx="13">
                  <c:v>5834</c:v>
                </c:pt>
                <c:pt idx="14">
                  <c:v>6002</c:v>
                </c:pt>
                <c:pt idx="15">
                  <c:v>6272</c:v>
                </c:pt>
                <c:pt idx="16">
                  <c:v>6122</c:v>
                </c:pt>
                <c:pt idx="17">
                  <c:v>5863</c:v>
                </c:pt>
                <c:pt idx="18">
                  <c:v>5732</c:v>
                </c:pt>
                <c:pt idx="19">
                  <c:v>5738</c:v>
                </c:pt>
                <c:pt idx="20">
                  <c:v>6522</c:v>
                </c:pt>
                <c:pt idx="21">
                  <c:v>5284</c:v>
                </c:pt>
                <c:pt idx="22">
                  <c:v>5410</c:v>
                </c:pt>
                <c:pt idx="23">
                  <c:v>6032</c:v>
                </c:pt>
                <c:pt idx="24">
                  <c:v>6760</c:v>
                </c:pt>
                <c:pt idx="25">
                  <c:v>5590</c:v>
                </c:pt>
                <c:pt idx="26">
                  <c:v>6139</c:v>
                </c:pt>
                <c:pt idx="27">
                  <c:v>5270</c:v>
                </c:pt>
                <c:pt idx="28">
                  <c:v>6445</c:v>
                </c:pt>
                <c:pt idx="29">
                  <c:v>5635</c:v>
                </c:pt>
                <c:pt idx="30">
                  <c:v>5607</c:v>
                </c:pt>
                <c:pt idx="31">
                  <c:v>6108</c:v>
                </c:pt>
              </c:numCache>
            </c:numRef>
          </c:xVal>
          <c:yVal>
            <c:numRef>
              <c:f>'2021 Wins - Losses Model'!$E$2:$E$33</c:f>
              <c:numCache>
                <c:formatCode>0.00%</c:formatCode>
                <c:ptCount val="32"/>
                <c:pt idx="0">
                  <c:v>0.6470588235294118</c:v>
                </c:pt>
                <c:pt idx="1">
                  <c:v>0.41176470588235292</c:v>
                </c:pt>
                <c:pt idx="2">
                  <c:v>0.47058823529411764</c:v>
                </c:pt>
                <c:pt idx="3">
                  <c:v>0.6470588235294118</c:v>
                </c:pt>
                <c:pt idx="4">
                  <c:v>0.29411764705882354</c:v>
                </c:pt>
                <c:pt idx="5">
                  <c:v>0.35294117647058826</c:v>
                </c:pt>
                <c:pt idx="6">
                  <c:v>0.58823529411764708</c:v>
                </c:pt>
                <c:pt idx="7">
                  <c:v>0.47058823529411764</c:v>
                </c:pt>
                <c:pt idx="8">
                  <c:v>0.70588235294117652</c:v>
                </c:pt>
                <c:pt idx="9">
                  <c:v>0.41176470588235292</c:v>
                </c:pt>
                <c:pt idx="10">
                  <c:v>0.20588235294117646</c:v>
                </c:pt>
                <c:pt idx="11">
                  <c:v>0.76470588235294112</c:v>
                </c:pt>
                <c:pt idx="12">
                  <c:v>0.23529411764705882</c:v>
                </c:pt>
                <c:pt idx="13">
                  <c:v>0.52941176470588236</c:v>
                </c:pt>
                <c:pt idx="14">
                  <c:v>0.17647058823529413</c:v>
                </c:pt>
                <c:pt idx="15">
                  <c:v>0.70588235294117652</c:v>
                </c:pt>
                <c:pt idx="16">
                  <c:v>0.52941176470588236</c:v>
                </c:pt>
                <c:pt idx="17">
                  <c:v>0.70588235294117652</c:v>
                </c:pt>
                <c:pt idx="18">
                  <c:v>0.58823529411764708</c:v>
                </c:pt>
                <c:pt idx="19">
                  <c:v>0.52941176470588236</c:v>
                </c:pt>
                <c:pt idx="20">
                  <c:v>0.47058823529411764</c:v>
                </c:pt>
                <c:pt idx="21">
                  <c:v>0.58823529411764708</c:v>
                </c:pt>
                <c:pt idx="22">
                  <c:v>0.52941176470588236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0.52941176470588236</c:v>
                </c:pt>
                <c:pt idx="26">
                  <c:v>0.55882352941176472</c:v>
                </c:pt>
                <c:pt idx="27">
                  <c:v>0.58823529411764708</c:v>
                </c:pt>
                <c:pt idx="28">
                  <c:v>0.41176470588235292</c:v>
                </c:pt>
                <c:pt idx="29">
                  <c:v>0.76470588235294112</c:v>
                </c:pt>
                <c:pt idx="30">
                  <c:v>0.70588235294117652</c:v>
                </c:pt>
                <c:pt idx="31">
                  <c:v>0.41176470588235292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FE-4ADE-9C7A-0BE1E0AA8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518520"/>
        <c:axId val="414519800"/>
      </c:scatterChart>
      <c:valAx>
        <c:axId val="414518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Yards</a:t>
                </a:r>
                <a:r>
                  <a:rPr lang="en-US" baseline="0"/>
                  <a:t> Given 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19800"/>
        <c:crosses val="autoZero"/>
        <c:crossBetween val="midCat"/>
      </c:valAx>
      <c:valAx>
        <c:axId val="414519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layout>
            <c:manualLayout>
              <c:xMode val="edge"/>
              <c:yMode val="edge"/>
              <c:x val="0.95277777777777772"/>
              <c:y val="0.28576771653543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1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/>
                </a:solidFill>
              </a:rPr>
              <a:t>Offensive</a:t>
            </a:r>
            <a:r>
              <a:rPr lang="en-US" sz="1800" b="1" baseline="0">
                <a:solidFill>
                  <a:schemeClr val="accent1"/>
                </a:solidFill>
              </a:rPr>
              <a:t> </a:t>
            </a:r>
            <a:r>
              <a:rPr lang="en-US" sz="1800" b="1">
                <a:solidFill>
                  <a:schemeClr val="accent1"/>
                </a:solidFill>
              </a:rPr>
              <a:t>Yards By Winning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'2021 Wins - Losses Model'!$Q$2:$Q$33</c:f>
              <c:numCache>
                <c:formatCode>General</c:formatCode>
                <c:ptCount val="32"/>
                <c:pt idx="0">
                  <c:v>6352</c:v>
                </c:pt>
                <c:pt idx="1">
                  <c:v>5164</c:v>
                </c:pt>
                <c:pt idx="2">
                  <c:v>6440</c:v>
                </c:pt>
                <c:pt idx="3">
                  <c:v>6493</c:v>
                </c:pt>
                <c:pt idx="4">
                  <c:v>5081</c:v>
                </c:pt>
                <c:pt idx="5">
                  <c:v>5225</c:v>
                </c:pt>
                <c:pt idx="6">
                  <c:v>6145</c:v>
                </c:pt>
                <c:pt idx="7">
                  <c:v>5791</c:v>
                </c:pt>
                <c:pt idx="8">
                  <c:v>6919</c:v>
                </c:pt>
                <c:pt idx="9">
                  <c:v>5618</c:v>
                </c:pt>
                <c:pt idx="10">
                  <c:v>5484</c:v>
                </c:pt>
                <c:pt idx="11">
                  <c:v>6215</c:v>
                </c:pt>
                <c:pt idx="12">
                  <c:v>4727</c:v>
                </c:pt>
                <c:pt idx="13">
                  <c:v>5901</c:v>
                </c:pt>
                <c:pt idx="14">
                  <c:v>5191</c:v>
                </c:pt>
                <c:pt idx="15">
                  <c:v>6746</c:v>
                </c:pt>
                <c:pt idx="16">
                  <c:v>6634</c:v>
                </c:pt>
                <c:pt idx="17">
                  <c:v>6325</c:v>
                </c:pt>
                <c:pt idx="18">
                  <c:v>6184</c:v>
                </c:pt>
                <c:pt idx="19">
                  <c:v>5219</c:v>
                </c:pt>
                <c:pt idx="20">
                  <c:v>6168</c:v>
                </c:pt>
                <c:pt idx="21">
                  <c:v>6008</c:v>
                </c:pt>
                <c:pt idx="22">
                  <c:v>5177</c:v>
                </c:pt>
                <c:pt idx="23">
                  <c:v>4884</c:v>
                </c:pt>
                <c:pt idx="24">
                  <c:v>5208</c:v>
                </c:pt>
                <c:pt idx="25">
                  <c:v>6119</c:v>
                </c:pt>
                <c:pt idx="26">
                  <c:v>5361</c:v>
                </c:pt>
                <c:pt idx="27">
                  <c:v>6387</c:v>
                </c:pt>
                <c:pt idx="28">
                  <c:v>5506</c:v>
                </c:pt>
                <c:pt idx="29">
                  <c:v>6901</c:v>
                </c:pt>
                <c:pt idx="30">
                  <c:v>5822</c:v>
                </c:pt>
                <c:pt idx="31">
                  <c:v>5502</c:v>
                </c:pt>
              </c:numCache>
            </c:numRef>
          </c:xVal>
          <c:yVal>
            <c:numRef>
              <c:f>'2021 Wins - Losses Model'!$E$2:$E$33</c:f>
              <c:numCache>
                <c:formatCode>0.00%</c:formatCode>
                <c:ptCount val="32"/>
                <c:pt idx="0">
                  <c:v>0.6470588235294118</c:v>
                </c:pt>
                <c:pt idx="1">
                  <c:v>0.41176470588235292</c:v>
                </c:pt>
                <c:pt idx="2">
                  <c:v>0.47058823529411764</c:v>
                </c:pt>
                <c:pt idx="3">
                  <c:v>0.6470588235294118</c:v>
                </c:pt>
                <c:pt idx="4">
                  <c:v>0.29411764705882354</c:v>
                </c:pt>
                <c:pt idx="5">
                  <c:v>0.35294117647058826</c:v>
                </c:pt>
                <c:pt idx="6">
                  <c:v>0.58823529411764708</c:v>
                </c:pt>
                <c:pt idx="7">
                  <c:v>0.47058823529411764</c:v>
                </c:pt>
                <c:pt idx="8">
                  <c:v>0.70588235294117652</c:v>
                </c:pt>
                <c:pt idx="9">
                  <c:v>0.41176470588235292</c:v>
                </c:pt>
                <c:pt idx="10">
                  <c:v>0.20588235294117646</c:v>
                </c:pt>
                <c:pt idx="11">
                  <c:v>0.76470588235294112</c:v>
                </c:pt>
                <c:pt idx="12">
                  <c:v>0.23529411764705882</c:v>
                </c:pt>
                <c:pt idx="13">
                  <c:v>0.52941176470588236</c:v>
                </c:pt>
                <c:pt idx="14">
                  <c:v>0.17647058823529413</c:v>
                </c:pt>
                <c:pt idx="15">
                  <c:v>0.70588235294117652</c:v>
                </c:pt>
                <c:pt idx="16">
                  <c:v>0.52941176470588236</c:v>
                </c:pt>
                <c:pt idx="17">
                  <c:v>0.70588235294117652</c:v>
                </c:pt>
                <c:pt idx="18">
                  <c:v>0.58823529411764708</c:v>
                </c:pt>
                <c:pt idx="19">
                  <c:v>0.52941176470588236</c:v>
                </c:pt>
                <c:pt idx="20">
                  <c:v>0.47058823529411764</c:v>
                </c:pt>
                <c:pt idx="21">
                  <c:v>0.58823529411764708</c:v>
                </c:pt>
                <c:pt idx="22">
                  <c:v>0.52941176470588236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0.52941176470588236</c:v>
                </c:pt>
                <c:pt idx="26">
                  <c:v>0.55882352941176472</c:v>
                </c:pt>
                <c:pt idx="27">
                  <c:v>0.58823529411764708</c:v>
                </c:pt>
                <c:pt idx="28">
                  <c:v>0.41176470588235292</c:v>
                </c:pt>
                <c:pt idx="29">
                  <c:v>0.76470588235294112</c:v>
                </c:pt>
                <c:pt idx="30">
                  <c:v>0.70588235294117652</c:v>
                </c:pt>
                <c:pt idx="31">
                  <c:v>0.41176470588235292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1-42C7-B987-A6ED3984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741816"/>
        <c:axId val="576742136"/>
      </c:scatterChart>
      <c:valAx>
        <c:axId val="57674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42136"/>
        <c:crosses val="autoZero"/>
        <c:crossBetween val="midCat"/>
      </c:valAx>
      <c:valAx>
        <c:axId val="576742136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4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/>
                </a:solidFill>
              </a:rPr>
              <a:t>Total Points By</a:t>
            </a:r>
            <a:r>
              <a:rPr lang="en-US" sz="1800" b="1" baseline="0">
                <a:solidFill>
                  <a:schemeClr val="accent1"/>
                </a:solidFill>
              </a:rPr>
              <a:t> Winning Percentage</a:t>
            </a:r>
            <a:endParaRPr lang="en-US" sz="1800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'2021 Wins - Losses Model'!$O$2:$O$33</c:f>
              <c:numCache>
                <c:formatCode>General</c:formatCode>
                <c:ptCount val="32"/>
                <c:pt idx="0">
                  <c:v>449</c:v>
                </c:pt>
                <c:pt idx="1">
                  <c:v>313</c:v>
                </c:pt>
                <c:pt idx="2">
                  <c:v>387</c:v>
                </c:pt>
                <c:pt idx="3">
                  <c:v>483</c:v>
                </c:pt>
                <c:pt idx="4">
                  <c:v>304</c:v>
                </c:pt>
                <c:pt idx="5">
                  <c:v>311</c:v>
                </c:pt>
                <c:pt idx="6">
                  <c:v>460</c:v>
                </c:pt>
                <c:pt idx="7">
                  <c:v>349</c:v>
                </c:pt>
                <c:pt idx="8">
                  <c:v>530</c:v>
                </c:pt>
                <c:pt idx="9">
                  <c:v>335</c:v>
                </c:pt>
                <c:pt idx="10">
                  <c:v>325</c:v>
                </c:pt>
                <c:pt idx="11">
                  <c:v>450</c:v>
                </c:pt>
                <c:pt idx="12">
                  <c:v>280</c:v>
                </c:pt>
                <c:pt idx="13">
                  <c:v>451</c:v>
                </c:pt>
                <c:pt idx="14">
                  <c:v>253</c:v>
                </c:pt>
                <c:pt idx="15">
                  <c:v>450</c:v>
                </c:pt>
                <c:pt idx="16">
                  <c:v>474</c:v>
                </c:pt>
                <c:pt idx="17">
                  <c:v>460</c:v>
                </c:pt>
                <c:pt idx="18">
                  <c:v>374</c:v>
                </c:pt>
                <c:pt idx="19">
                  <c:v>341</c:v>
                </c:pt>
                <c:pt idx="20">
                  <c:v>425</c:v>
                </c:pt>
                <c:pt idx="21">
                  <c:v>462</c:v>
                </c:pt>
                <c:pt idx="22">
                  <c:v>364</c:v>
                </c:pt>
                <c:pt idx="23">
                  <c:v>258</c:v>
                </c:pt>
                <c:pt idx="24">
                  <c:v>310</c:v>
                </c:pt>
                <c:pt idx="25">
                  <c:v>444</c:v>
                </c:pt>
                <c:pt idx="26">
                  <c:v>343</c:v>
                </c:pt>
                <c:pt idx="27">
                  <c:v>427</c:v>
                </c:pt>
                <c:pt idx="28">
                  <c:v>395</c:v>
                </c:pt>
                <c:pt idx="29">
                  <c:v>511</c:v>
                </c:pt>
                <c:pt idx="30">
                  <c:v>419</c:v>
                </c:pt>
                <c:pt idx="31">
                  <c:v>335</c:v>
                </c:pt>
              </c:numCache>
            </c:numRef>
          </c:xVal>
          <c:yVal>
            <c:numRef>
              <c:f>'2021 Wins - Losses Model'!$E$2:$E$33</c:f>
              <c:numCache>
                <c:formatCode>0.00%</c:formatCode>
                <c:ptCount val="32"/>
                <c:pt idx="0">
                  <c:v>0.6470588235294118</c:v>
                </c:pt>
                <c:pt idx="1">
                  <c:v>0.41176470588235292</c:v>
                </c:pt>
                <c:pt idx="2">
                  <c:v>0.47058823529411764</c:v>
                </c:pt>
                <c:pt idx="3">
                  <c:v>0.6470588235294118</c:v>
                </c:pt>
                <c:pt idx="4">
                  <c:v>0.29411764705882354</c:v>
                </c:pt>
                <c:pt idx="5">
                  <c:v>0.35294117647058826</c:v>
                </c:pt>
                <c:pt idx="6">
                  <c:v>0.58823529411764708</c:v>
                </c:pt>
                <c:pt idx="7">
                  <c:v>0.47058823529411764</c:v>
                </c:pt>
                <c:pt idx="8">
                  <c:v>0.70588235294117652</c:v>
                </c:pt>
                <c:pt idx="9">
                  <c:v>0.41176470588235292</c:v>
                </c:pt>
                <c:pt idx="10">
                  <c:v>0.20588235294117646</c:v>
                </c:pt>
                <c:pt idx="11">
                  <c:v>0.76470588235294112</c:v>
                </c:pt>
                <c:pt idx="12">
                  <c:v>0.23529411764705882</c:v>
                </c:pt>
                <c:pt idx="13">
                  <c:v>0.52941176470588236</c:v>
                </c:pt>
                <c:pt idx="14">
                  <c:v>0.17647058823529413</c:v>
                </c:pt>
                <c:pt idx="15">
                  <c:v>0.70588235294117652</c:v>
                </c:pt>
                <c:pt idx="16">
                  <c:v>0.52941176470588236</c:v>
                </c:pt>
                <c:pt idx="17">
                  <c:v>0.70588235294117652</c:v>
                </c:pt>
                <c:pt idx="18">
                  <c:v>0.58823529411764708</c:v>
                </c:pt>
                <c:pt idx="19">
                  <c:v>0.52941176470588236</c:v>
                </c:pt>
                <c:pt idx="20">
                  <c:v>0.47058823529411764</c:v>
                </c:pt>
                <c:pt idx="21">
                  <c:v>0.58823529411764708</c:v>
                </c:pt>
                <c:pt idx="22">
                  <c:v>0.52941176470588236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0.52941176470588236</c:v>
                </c:pt>
                <c:pt idx="26">
                  <c:v>0.55882352941176472</c:v>
                </c:pt>
                <c:pt idx="27">
                  <c:v>0.58823529411764708</c:v>
                </c:pt>
                <c:pt idx="28">
                  <c:v>0.41176470588235292</c:v>
                </c:pt>
                <c:pt idx="29">
                  <c:v>0.76470588235294112</c:v>
                </c:pt>
                <c:pt idx="30">
                  <c:v>0.70588235294117652</c:v>
                </c:pt>
                <c:pt idx="31">
                  <c:v>0.41176470588235292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C-4A2A-97B6-42550CC6C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20368"/>
        <c:axId val="629221648"/>
      </c:scatterChart>
      <c:valAx>
        <c:axId val="62922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21648"/>
        <c:crosses val="autoZero"/>
        <c:crossBetween val="midCat"/>
      </c:valAx>
      <c:valAx>
        <c:axId val="629221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2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/>
                </a:solidFill>
              </a:rPr>
              <a:t>Points Given Up By Winning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'2021 Wins - Losses Model'!$P$2:$P$33</c:f>
              <c:numCache>
                <c:formatCode>General</c:formatCode>
                <c:ptCount val="32"/>
                <c:pt idx="0">
                  <c:v>366</c:v>
                </c:pt>
                <c:pt idx="1">
                  <c:v>459</c:v>
                </c:pt>
                <c:pt idx="2">
                  <c:v>392</c:v>
                </c:pt>
                <c:pt idx="3">
                  <c:v>289</c:v>
                </c:pt>
                <c:pt idx="4">
                  <c:v>404</c:v>
                </c:pt>
                <c:pt idx="5">
                  <c:v>407</c:v>
                </c:pt>
                <c:pt idx="6">
                  <c:v>376</c:v>
                </c:pt>
                <c:pt idx="7">
                  <c:v>371</c:v>
                </c:pt>
                <c:pt idx="8">
                  <c:v>358</c:v>
                </c:pt>
                <c:pt idx="9">
                  <c:v>322</c:v>
                </c:pt>
                <c:pt idx="10">
                  <c:v>467</c:v>
                </c:pt>
                <c:pt idx="11">
                  <c:v>371</c:v>
                </c:pt>
                <c:pt idx="12">
                  <c:v>452</c:v>
                </c:pt>
                <c:pt idx="13">
                  <c:v>365</c:v>
                </c:pt>
                <c:pt idx="14">
                  <c:v>457</c:v>
                </c:pt>
                <c:pt idx="15">
                  <c:v>364</c:v>
                </c:pt>
                <c:pt idx="16">
                  <c:v>459</c:v>
                </c:pt>
                <c:pt idx="17">
                  <c:v>372</c:v>
                </c:pt>
                <c:pt idx="18">
                  <c:v>439</c:v>
                </c:pt>
                <c:pt idx="19">
                  <c:v>373</c:v>
                </c:pt>
                <c:pt idx="20">
                  <c:v>426</c:v>
                </c:pt>
                <c:pt idx="21">
                  <c:v>303</c:v>
                </c:pt>
                <c:pt idx="22">
                  <c:v>335</c:v>
                </c:pt>
                <c:pt idx="23">
                  <c:v>416</c:v>
                </c:pt>
                <c:pt idx="24">
                  <c:v>504</c:v>
                </c:pt>
                <c:pt idx="25">
                  <c:v>385</c:v>
                </c:pt>
                <c:pt idx="26">
                  <c:v>398</c:v>
                </c:pt>
                <c:pt idx="27">
                  <c:v>365</c:v>
                </c:pt>
                <c:pt idx="28">
                  <c:v>366</c:v>
                </c:pt>
                <c:pt idx="29">
                  <c:v>353</c:v>
                </c:pt>
                <c:pt idx="30">
                  <c:v>354</c:v>
                </c:pt>
                <c:pt idx="31">
                  <c:v>434</c:v>
                </c:pt>
              </c:numCache>
            </c:numRef>
          </c:xVal>
          <c:yVal>
            <c:numRef>
              <c:f>'2021 Wins - Losses Model'!$E$2:$E$33</c:f>
              <c:numCache>
                <c:formatCode>0.00%</c:formatCode>
                <c:ptCount val="32"/>
                <c:pt idx="0">
                  <c:v>0.6470588235294118</c:v>
                </c:pt>
                <c:pt idx="1">
                  <c:v>0.41176470588235292</c:v>
                </c:pt>
                <c:pt idx="2">
                  <c:v>0.47058823529411764</c:v>
                </c:pt>
                <c:pt idx="3">
                  <c:v>0.6470588235294118</c:v>
                </c:pt>
                <c:pt idx="4">
                  <c:v>0.29411764705882354</c:v>
                </c:pt>
                <c:pt idx="5">
                  <c:v>0.35294117647058826</c:v>
                </c:pt>
                <c:pt idx="6">
                  <c:v>0.58823529411764708</c:v>
                </c:pt>
                <c:pt idx="7">
                  <c:v>0.47058823529411764</c:v>
                </c:pt>
                <c:pt idx="8">
                  <c:v>0.70588235294117652</c:v>
                </c:pt>
                <c:pt idx="9">
                  <c:v>0.41176470588235292</c:v>
                </c:pt>
                <c:pt idx="10">
                  <c:v>0.20588235294117646</c:v>
                </c:pt>
                <c:pt idx="11">
                  <c:v>0.76470588235294112</c:v>
                </c:pt>
                <c:pt idx="12">
                  <c:v>0.23529411764705882</c:v>
                </c:pt>
                <c:pt idx="13">
                  <c:v>0.52941176470588236</c:v>
                </c:pt>
                <c:pt idx="14">
                  <c:v>0.17647058823529413</c:v>
                </c:pt>
                <c:pt idx="15">
                  <c:v>0.70588235294117652</c:v>
                </c:pt>
                <c:pt idx="16">
                  <c:v>0.52941176470588236</c:v>
                </c:pt>
                <c:pt idx="17">
                  <c:v>0.70588235294117652</c:v>
                </c:pt>
                <c:pt idx="18">
                  <c:v>0.58823529411764708</c:v>
                </c:pt>
                <c:pt idx="19">
                  <c:v>0.52941176470588236</c:v>
                </c:pt>
                <c:pt idx="20">
                  <c:v>0.47058823529411764</c:v>
                </c:pt>
                <c:pt idx="21">
                  <c:v>0.58823529411764708</c:v>
                </c:pt>
                <c:pt idx="22">
                  <c:v>0.52941176470588236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0.52941176470588236</c:v>
                </c:pt>
                <c:pt idx="26">
                  <c:v>0.55882352941176472</c:v>
                </c:pt>
                <c:pt idx="27">
                  <c:v>0.58823529411764708</c:v>
                </c:pt>
                <c:pt idx="28">
                  <c:v>0.41176470588235292</c:v>
                </c:pt>
                <c:pt idx="29">
                  <c:v>0.76470588235294112</c:v>
                </c:pt>
                <c:pt idx="30">
                  <c:v>0.70588235294117652</c:v>
                </c:pt>
                <c:pt idx="31">
                  <c:v>0.41176470588235292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06-4EE3-8D8D-2A2C9133D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548792"/>
        <c:axId val="665550392"/>
      </c:scatterChart>
      <c:valAx>
        <c:axId val="6655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 Given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50392"/>
        <c:crosses val="autoZero"/>
        <c:crossBetween val="midCat"/>
      </c:valAx>
      <c:valAx>
        <c:axId val="665550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4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/>
                </a:solidFill>
              </a:rPr>
              <a:t>Pass Play Call % Vs Winning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902887139107614E-2"/>
          <c:y val="0.17171296296296298"/>
          <c:w val="0.84275218722659673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'2021 Wins - Losses Model'!$U$1</c:f>
              <c:strCache>
                <c:ptCount val="1"/>
                <c:pt idx="0">
                  <c:v>Pass Play Call Percentage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'2021 Wins - Losses Model'!$U$2:$U$33</c:f>
              <c:numCache>
                <c:formatCode>0.00%</c:formatCode>
                <c:ptCount val="32"/>
                <c:pt idx="0">
                  <c:v>0.56440000000000001</c:v>
                </c:pt>
                <c:pt idx="1">
                  <c:v>0.60929999999999995</c:v>
                </c:pt>
                <c:pt idx="2">
                  <c:v>0.56369999999999998</c:v>
                </c:pt>
                <c:pt idx="3">
                  <c:v>0.59209999999999996</c:v>
                </c:pt>
                <c:pt idx="4">
                  <c:v>0.58860000000000001</c:v>
                </c:pt>
                <c:pt idx="5">
                  <c:v>0.55810000000000004</c:v>
                </c:pt>
                <c:pt idx="6">
                  <c:v>0.5948</c:v>
                </c:pt>
                <c:pt idx="7">
                  <c:v>0.53979999999999995</c:v>
                </c:pt>
                <c:pt idx="8">
                  <c:v>0.59609999999999996</c:v>
                </c:pt>
                <c:pt idx="9">
                  <c:v>0.56079999999999997</c:v>
                </c:pt>
                <c:pt idx="10">
                  <c:v>0.59560000000000002</c:v>
                </c:pt>
                <c:pt idx="11">
                  <c:v>0.58609999999999995</c:v>
                </c:pt>
                <c:pt idx="12">
                  <c:v>0.58420000000000005</c:v>
                </c:pt>
                <c:pt idx="13">
                  <c:v>0.52570000000000006</c:v>
                </c:pt>
                <c:pt idx="14">
                  <c:v>0.61870000000000003</c:v>
                </c:pt>
                <c:pt idx="15">
                  <c:v>0.62360000000000004</c:v>
                </c:pt>
                <c:pt idx="16">
                  <c:v>0.59310000000000007</c:v>
                </c:pt>
                <c:pt idx="17">
                  <c:v>0.62880000000000003</c:v>
                </c:pt>
                <c:pt idx="18">
                  <c:v>0.625</c:v>
                </c:pt>
                <c:pt idx="19">
                  <c:v>0.59709999999999996</c:v>
                </c:pt>
                <c:pt idx="20">
                  <c:v>0.58540000000000003</c:v>
                </c:pt>
                <c:pt idx="21">
                  <c:v>0.54270000000000007</c:v>
                </c:pt>
                <c:pt idx="22">
                  <c:v>0.51469999999999994</c:v>
                </c:pt>
                <c:pt idx="23">
                  <c:v>0.60099999999999998</c:v>
                </c:pt>
                <c:pt idx="24">
                  <c:v>0.63319999999999999</c:v>
                </c:pt>
                <c:pt idx="25">
                  <c:v>0.50130000000000008</c:v>
                </c:pt>
                <c:pt idx="26">
                  <c:v>0.63439999999999996</c:v>
                </c:pt>
                <c:pt idx="27">
                  <c:v>0.5161</c:v>
                </c:pt>
                <c:pt idx="28">
                  <c:v>0.56710000000000005</c:v>
                </c:pt>
                <c:pt idx="29">
                  <c:v>0.66459999999999997</c:v>
                </c:pt>
                <c:pt idx="30">
                  <c:v>0.51219999999999999</c:v>
                </c:pt>
                <c:pt idx="31">
                  <c:v>0.55420000000000003</c:v>
                </c:pt>
              </c:numCache>
            </c:numRef>
          </c:xVal>
          <c:yVal>
            <c:numRef>
              <c:f>'2021 Wins - Losses Model'!$E$2:$E$33</c:f>
              <c:numCache>
                <c:formatCode>0.00%</c:formatCode>
                <c:ptCount val="32"/>
                <c:pt idx="0">
                  <c:v>0.6470588235294118</c:v>
                </c:pt>
                <c:pt idx="1">
                  <c:v>0.41176470588235292</c:v>
                </c:pt>
                <c:pt idx="2">
                  <c:v>0.47058823529411764</c:v>
                </c:pt>
                <c:pt idx="3">
                  <c:v>0.6470588235294118</c:v>
                </c:pt>
                <c:pt idx="4">
                  <c:v>0.29411764705882354</c:v>
                </c:pt>
                <c:pt idx="5">
                  <c:v>0.35294117647058826</c:v>
                </c:pt>
                <c:pt idx="6">
                  <c:v>0.58823529411764708</c:v>
                </c:pt>
                <c:pt idx="7">
                  <c:v>0.47058823529411764</c:v>
                </c:pt>
                <c:pt idx="8">
                  <c:v>0.70588235294117652</c:v>
                </c:pt>
                <c:pt idx="9">
                  <c:v>0.41176470588235292</c:v>
                </c:pt>
                <c:pt idx="10">
                  <c:v>0.20588235294117646</c:v>
                </c:pt>
                <c:pt idx="11">
                  <c:v>0.76470588235294112</c:v>
                </c:pt>
                <c:pt idx="12">
                  <c:v>0.23529411764705882</c:v>
                </c:pt>
                <c:pt idx="13">
                  <c:v>0.52941176470588236</c:v>
                </c:pt>
                <c:pt idx="14">
                  <c:v>0.17647058823529413</c:v>
                </c:pt>
                <c:pt idx="15">
                  <c:v>0.70588235294117652</c:v>
                </c:pt>
                <c:pt idx="16">
                  <c:v>0.52941176470588236</c:v>
                </c:pt>
                <c:pt idx="17">
                  <c:v>0.70588235294117652</c:v>
                </c:pt>
                <c:pt idx="18">
                  <c:v>0.58823529411764708</c:v>
                </c:pt>
                <c:pt idx="19">
                  <c:v>0.52941176470588236</c:v>
                </c:pt>
                <c:pt idx="20">
                  <c:v>0.47058823529411764</c:v>
                </c:pt>
                <c:pt idx="21">
                  <c:v>0.58823529411764708</c:v>
                </c:pt>
                <c:pt idx="22">
                  <c:v>0.52941176470588236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0.52941176470588236</c:v>
                </c:pt>
                <c:pt idx="26">
                  <c:v>0.55882352941176472</c:v>
                </c:pt>
                <c:pt idx="27">
                  <c:v>0.58823529411764708</c:v>
                </c:pt>
                <c:pt idx="28">
                  <c:v>0.41176470588235292</c:v>
                </c:pt>
                <c:pt idx="29">
                  <c:v>0.76470588235294112</c:v>
                </c:pt>
                <c:pt idx="30">
                  <c:v>0.70588235294117652</c:v>
                </c:pt>
                <c:pt idx="31">
                  <c:v>0.41176470588235292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1-4279-8E52-13403F12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577912"/>
        <c:axId val="665580472"/>
      </c:scatterChart>
      <c:valAx>
        <c:axId val="665577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 Play Call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80472"/>
        <c:crosses val="autoZero"/>
        <c:crossBetween val="midCat"/>
      </c:valAx>
      <c:valAx>
        <c:axId val="665580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layout>
            <c:manualLayout>
              <c:xMode val="edge"/>
              <c:yMode val="edge"/>
              <c:x val="0.95"/>
              <c:y val="0.2744597550306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577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/>
                </a:solidFill>
              </a:rPr>
              <a:t>Success Rate Vs Winning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'2021 Wins - Losses Model'!$V$2:$V$33</c:f>
              <c:numCache>
                <c:formatCode>0%</c:formatCode>
                <c:ptCount val="32"/>
                <c:pt idx="0">
                  <c:v>0.5</c:v>
                </c:pt>
                <c:pt idx="1">
                  <c:v>0.44</c:v>
                </c:pt>
                <c:pt idx="2">
                  <c:v>0.5</c:v>
                </c:pt>
                <c:pt idx="3">
                  <c:v>0.51</c:v>
                </c:pt>
                <c:pt idx="4">
                  <c:v>0.44</c:v>
                </c:pt>
                <c:pt idx="5">
                  <c:v>0.44</c:v>
                </c:pt>
                <c:pt idx="6">
                  <c:v>0.47</c:v>
                </c:pt>
                <c:pt idx="7">
                  <c:v>0.47</c:v>
                </c:pt>
                <c:pt idx="8">
                  <c:v>0.5</c:v>
                </c:pt>
                <c:pt idx="9">
                  <c:v>0.47</c:v>
                </c:pt>
                <c:pt idx="10">
                  <c:v>0.46</c:v>
                </c:pt>
                <c:pt idx="11">
                  <c:v>0.51</c:v>
                </c:pt>
                <c:pt idx="12">
                  <c:v>0.42</c:v>
                </c:pt>
                <c:pt idx="13">
                  <c:v>0.48</c:v>
                </c:pt>
                <c:pt idx="14">
                  <c:v>0.46</c:v>
                </c:pt>
                <c:pt idx="15">
                  <c:v>0.55000000000000004</c:v>
                </c:pt>
                <c:pt idx="16">
                  <c:v>0.51</c:v>
                </c:pt>
                <c:pt idx="17">
                  <c:v>0.51</c:v>
                </c:pt>
                <c:pt idx="18">
                  <c:v>0.5</c:v>
                </c:pt>
                <c:pt idx="19">
                  <c:v>0.47</c:v>
                </c:pt>
                <c:pt idx="20">
                  <c:v>0.45</c:v>
                </c:pt>
                <c:pt idx="21">
                  <c:v>0.51</c:v>
                </c:pt>
                <c:pt idx="22">
                  <c:v>0.43</c:v>
                </c:pt>
                <c:pt idx="23">
                  <c:v>0.41</c:v>
                </c:pt>
                <c:pt idx="24">
                  <c:v>0.45</c:v>
                </c:pt>
                <c:pt idx="25">
                  <c:v>0.5</c:v>
                </c:pt>
                <c:pt idx="26">
                  <c:v>0.44</c:v>
                </c:pt>
                <c:pt idx="27">
                  <c:v>0.48</c:v>
                </c:pt>
                <c:pt idx="28">
                  <c:v>0.48</c:v>
                </c:pt>
                <c:pt idx="29">
                  <c:v>0.53</c:v>
                </c:pt>
                <c:pt idx="30">
                  <c:v>0.47</c:v>
                </c:pt>
                <c:pt idx="31">
                  <c:v>0.48</c:v>
                </c:pt>
              </c:numCache>
            </c:numRef>
          </c:xVal>
          <c:yVal>
            <c:numRef>
              <c:f>'2021 Wins - Losses Model'!$E$2:$E$33</c:f>
              <c:numCache>
                <c:formatCode>0.00%</c:formatCode>
                <c:ptCount val="32"/>
                <c:pt idx="0">
                  <c:v>0.6470588235294118</c:v>
                </c:pt>
                <c:pt idx="1">
                  <c:v>0.41176470588235292</c:v>
                </c:pt>
                <c:pt idx="2">
                  <c:v>0.47058823529411764</c:v>
                </c:pt>
                <c:pt idx="3">
                  <c:v>0.6470588235294118</c:v>
                </c:pt>
                <c:pt idx="4">
                  <c:v>0.29411764705882354</c:v>
                </c:pt>
                <c:pt idx="5">
                  <c:v>0.35294117647058826</c:v>
                </c:pt>
                <c:pt idx="6">
                  <c:v>0.58823529411764708</c:v>
                </c:pt>
                <c:pt idx="7">
                  <c:v>0.47058823529411764</c:v>
                </c:pt>
                <c:pt idx="8">
                  <c:v>0.70588235294117652</c:v>
                </c:pt>
                <c:pt idx="9">
                  <c:v>0.41176470588235292</c:v>
                </c:pt>
                <c:pt idx="10">
                  <c:v>0.20588235294117646</c:v>
                </c:pt>
                <c:pt idx="11">
                  <c:v>0.76470588235294112</c:v>
                </c:pt>
                <c:pt idx="12">
                  <c:v>0.23529411764705882</c:v>
                </c:pt>
                <c:pt idx="13">
                  <c:v>0.52941176470588236</c:v>
                </c:pt>
                <c:pt idx="14">
                  <c:v>0.17647058823529413</c:v>
                </c:pt>
                <c:pt idx="15">
                  <c:v>0.70588235294117652</c:v>
                </c:pt>
                <c:pt idx="16">
                  <c:v>0.52941176470588236</c:v>
                </c:pt>
                <c:pt idx="17">
                  <c:v>0.70588235294117652</c:v>
                </c:pt>
                <c:pt idx="18">
                  <c:v>0.58823529411764708</c:v>
                </c:pt>
                <c:pt idx="19">
                  <c:v>0.52941176470588236</c:v>
                </c:pt>
                <c:pt idx="20">
                  <c:v>0.47058823529411764</c:v>
                </c:pt>
                <c:pt idx="21">
                  <c:v>0.58823529411764708</c:v>
                </c:pt>
                <c:pt idx="22">
                  <c:v>0.52941176470588236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0.52941176470588236</c:v>
                </c:pt>
                <c:pt idx="26">
                  <c:v>0.55882352941176472</c:v>
                </c:pt>
                <c:pt idx="27">
                  <c:v>0.58823529411764708</c:v>
                </c:pt>
                <c:pt idx="28">
                  <c:v>0.41176470588235292</c:v>
                </c:pt>
                <c:pt idx="29">
                  <c:v>0.76470588235294112</c:v>
                </c:pt>
                <c:pt idx="30">
                  <c:v>0.70588235294117652</c:v>
                </c:pt>
                <c:pt idx="31">
                  <c:v>0.41176470588235292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2-4C9F-8A76-0D364D78D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381880"/>
        <c:axId val="753377720"/>
      </c:scatterChart>
      <c:valAx>
        <c:axId val="75338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77720"/>
        <c:crosses val="autoZero"/>
        <c:crossBetween val="midCat"/>
      </c:valAx>
      <c:valAx>
        <c:axId val="753377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8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>
                <a:solidFill>
                  <a:schemeClr val="accent1"/>
                </a:solidFill>
              </a:rPr>
              <a:t>Explosive Play Rate Vs Winning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'2021 Wins - Losses Model'!$W$1</c:f>
              <c:strCache>
                <c:ptCount val="1"/>
                <c:pt idx="0">
                  <c:v>Explosive Play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'2021 Wins - Losses Model'!$W$2:$W$33</c:f>
              <c:numCache>
                <c:formatCode>0%</c:formatCode>
                <c:ptCount val="32"/>
                <c:pt idx="0">
                  <c:v>0.1</c:v>
                </c:pt>
                <c:pt idx="1">
                  <c:v>0.09</c:v>
                </c:pt>
                <c:pt idx="2">
                  <c:v>0.1</c:v>
                </c:pt>
                <c:pt idx="3">
                  <c:v>0.1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0.12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0.09</c:v>
                </c:pt>
                <c:pt idx="12">
                  <c:v>7.0000000000000007E-2</c:v>
                </c:pt>
                <c:pt idx="13">
                  <c:v>0.11</c:v>
                </c:pt>
                <c:pt idx="14">
                  <c:v>0.08</c:v>
                </c:pt>
                <c:pt idx="15">
                  <c:v>0.1</c:v>
                </c:pt>
                <c:pt idx="16">
                  <c:v>0.1</c:v>
                </c:pt>
                <c:pt idx="17">
                  <c:v>0.09</c:v>
                </c:pt>
                <c:pt idx="18">
                  <c:v>0.1</c:v>
                </c:pt>
                <c:pt idx="19">
                  <c:v>7.0000000000000007E-2</c:v>
                </c:pt>
                <c:pt idx="20">
                  <c:v>0.11</c:v>
                </c:pt>
                <c:pt idx="21">
                  <c:v>0.12</c:v>
                </c:pt>
                <c:pt idx="22">
                  <c:v>0.08</c:v>
                </c:pt>
                <c:pt idx="23">
                  <c:v>7.0000000000000007E-2</c:v>
                </c:pt>
                <c:pt idx="24">
                  <c:v>0.09</c:v>
                </c:pt>
                <c:pt idx="25">
                  <c:v>0.12</c:v>
                </c:pt>
                <c:pt idx="26">
                  <c:v>7.0000000000000007E-2</c:v>
                </c:pt>
                <c:pt idx="27">
                  <c:v>0.11</c:v>
                </c:pt>
                <c:pt idx="28">
                  <c:v>0.11</c:v>
                </c:pt>
                <c:pt idx="29">
                  <c:v>0.1</c:v>
                </c:pt>
                <c:pt idx="30">
                  <c:v>0.09</c:v>
                </c:pt>
                <c:pt idx="31">
                  <c:v>0.09</c:v>
                </c:pt>
              </c:numCache>
            </c:numRef>
          </c:xVal>
          <c:yVal>
            <c:numRef>
              <c:f>'2021 Wins - Losses Model'!$E$2:$E$33</c:f>
              <c:numCache>
                <c:formatCode>0.00%</c:formatCode>
                <c:ptCount val="32"/>
                <c:pt idx="0">
                  <c:v>0.6470588235294118</c:v>
                </c:pt>
                <c:pt idx="1">
                  <c:v>0.41176470588235292</c:v>
                </c:pt>
                <c:pt idx="2">
                  <c:v>0.47058823529411764</c:v>
                </c:pt>
                <c:pt idx="3">
                  <c:v>0.6470588235294118</c:v>
                </c:pt>
                <c:pt idx="4">
                  <c:v>0.29411764705882354</c:v>
                </c:pt>
                <c:pt idx="5">
                  <c:v>0.35294117647058826</c:v>
                </c:pt>
                <c:pt idx="6">
                  <c:v>0.58823529411764708</c:v>
                </c:pt>
                <c:pt idx="7">
                  <c:v>0.47058823529411764</c:v>
                </c:pt>
                <c:pt idx="8">
                  <c:v>0.70588235294117652</c:v>
                </c:pt>
                <c:pt idx="9">
                  <c:v>0.41176470588235292</c:v>
                </c:pt>
                <c:pt idx="10">
                  <c:v>0.20588235294117646</c:v>
                </c:pt>
                <c:pt idx="11">
                  <c:v>0.76470588235294112</c:v>
                </c:pt>
                <c:pt idx="12">
                  <c:v>0.23529411764705882</c:v>
                </c:pt>
                <c:pt idx="13">
                  <c:v>0.52941176470588236</c:v>
                </c:pt>
                <c:pt idx="14">
                  <c:v>0.17647058823529413</c:v>
                </c:pt>
                <c:pt idx="15">
                  <c:v>0.70588235294117652</c:v>
                </c:pt>
                <c:pt idx="16">
                  <c:v>0.52941176470588236</c:v>
                </c:pt>
                <c:pt idx="17">
                  <c:v>0.70588235294117652</c:v>
                </c:pt>
                <c:pt idx="18">
                  <c:v>0.58823529411764708</c:v>
                </c:pt>
                <c:pt idx="19">
                  <c:v>0.52941176470588236</c:v>
                </c:pt>
                <c:pt idx="20">
                  <c:v>0.47058823529411764</c:v>
                </c:pt>
                <c:pt idx="21">
                  <c:v>0.58823529411764708</c:v>
                </c:pt>
                <c:pt idx="22">
                  <c:v>0.52941176470588236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0.52941176470588236</c:v>
                </c:pt>
                <c:pt idx="26">
                  <c:v>0.55882352941176472</c:v>
                </c:pt>
                <c:pt idx="27">
                  <c:v>0.58823529411764708</c:v>
                </c:pt>
                <c:pt idx="28">
                  <c:v>0.41176470588235292</c:v>
                </c:pt>
                <c:pt idx="29">
                  <c:v>0.76470588235294112</c:v>
                </c:pt>
                <c:pt idx="30">
                  <c:v>0.70588235294117652</c:v>
                </c:pt>
                <c:pt idx="31">
                  <c:v>0.41176470588235292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BE-4F83-B188-23620D39B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77360"/>
        <c:axId val="579377040"/>
      </c:scatterChart>
      <c:valAx>
        <c:axId val="57937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Explosive Play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77040"/>
        <c:crosses val="autoZero"/>
        <c:crossBetween val="midCat"/>
      </c:valAx>
      <c:valAx>
        <c:axId val="579377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7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>
                    <a:lumMod val="75000"/>
                  </a:schemeClr>
                </a:solidFill>
                <a:latin typeface="+mn-lt"/>
                <a:cs typeface="Arial" panose="020B0604020202020204" pitchFamily="34" charset="0"/>
              </a:rPr>
              <a:t>The Rise (And Fall) of Mike</a:t>
            </a:r>
            <a:r>
              <a:rPr lang="en-US" sz="1800" b="1" baseline="0">
                <a:solidFill>
                  <a:schemeClr val="accent1">
                    <a:lumMod val="75000"/>
                  </a:schemeClr>
                </a:solidFill>
                <a:latin typeface="+mn-lt"/>
                <a:cs typeface="Arial" panose="020B0604020202020204" pitchFamily="34" charset="0"/>
              </a:rPr>
              <a:t> Zimmer's </a:t>
            </a:r>
          </a:p>
          <a:p>
            <a:pPr algn="l">
              <a:defRPr/>
            </a:pPr>
            <a:r>
              <a:rPr lang="en-US" sz="1800" b="1" baseline="0">
                <a:solidFill>
                  <a:schemeClr val="accent1">
                    <a:lumMod val="75000"/>
                  </a:schemeClr>
                </a:solidFill>
                <a:latin typeface="+mn-lt"/>
                <a:cs typeface="Arial" panose="020B0604020202020204" pitchFamily="34" charset="0"/>
              </a:rPr>
              <a:t>Vikings' Win Percentage</a:t>
            </a:r>
            <a:endParaRPr lang="en-US" sz="1800" b="1">
              <a:solidFill>
                <a:schemeClr val="accent1">
                  <a:lumMod val="75000"/>
                </a:schemeClr>
              </a:solidFill>
              <a:latin typeface="+mn-lt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9575512341260374E-2"/>
          <c:y val="2.5442140413076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83372438293698"/>
          <c:y val="0.18531191454471332"/>
          <c:w val="0.81341885389326329"/>
          <c:h val="0.71872676220815912"/>
        </c:manualLayout>
      </c:layout>
      <c:lineChart>
        <c:grouping val="standard"/>
        <c:varyColors val="0"/>
        <c:ser>
          <c:idx val="0"/>
          <c:order val="0"/>
          <c:tx>
            <c:strRef>
              <c:f>'Winning % By Year'!$B$14</c:f>
              <c:strCache>
                <c:ptCount val="1"/>
                <c:pt idx="0">
                  <c:v>Vikings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tx2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0C4-4ADA-AD25-A529F1CD8DCD}"/>
              </c:ext>
            </c:extLst>
          </c:dPt>
          <c:dPt>
            <c:idx val="4"/>
            <c:marker>
              <c:symbol val="circle"/>
              <c:size val="6"/>
              <c:spPr>
                <a:solidFill>
                  <a:schemeClr val="accent1">
                    <a:alpha val="85000"/>
                  </a:schemeClr>
                </a:solidFill>
                <a:ln w="9525">
                  <a:solidFill>
                    <a:schemeClr val="tx2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0C4-4ADA-AD25-A529F1CD8DCD}"/>
              </c:ext>
            </c:extLst>
          </c:dPt>
          <c:dPt>
            <c:idx val="5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tx2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0C4-4ADA-AD25-A529F1CD8DCD}"/>
              </c:ext>
            </c:extLst>
          </c:dPt>
          <c:dPt>
            <c:idx val="6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tx2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0C4-4ADA-AD25-A529F1CD8DCD}"/>
              </c:ext>
            </c:extLst>
          </c:dPt>
          <c:dPt>
            <c:idx val="7"/>
            <c:marker>
              <c:symbol val="circle"/>
              <c:size val="6"/>
              <c:spPr>
                <a:solidFill>
                  <a:schemeClr val="accent1"/>
                </a:solidFill>
                <a:ln w="9525">
                  <a:solidFill>
                    <a:schemeClr val="tx2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0C4-4ADA-AD25-A529F1CD8DCD}"/>
              </c:ext>
            </c:extLst>
          </c:dPt>
          <c:dLbls>
            <c:dLbl>
              <c:idx val="4"/>
              <c:layout>
                <c:manualLayout>
                  <c:x val="-3.3106575963718819E-2"/>
                  <c:y val="2.47156605424320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C4-4ADA-AD25-A529F1CD8DCD}"/>
                </c:ext>
              </c:extLst>
            </c:dLbl>
            <c:dLbl>
              <c:idx val="5"/>
              <c:layout>
                <c:manualLayout>
                  <c:x val="-3.8662131519274376E-2"/>
                  <c:y val="2.8350808243210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C4-4ADA-AD25-A529F1CD8DCD}"/>
                </c:ext>
              </c:extLst>
            </c:dLbl>
            <c:dLbl>
              <c:idx val="6"/>
              <c:layout>
                <c:manualLayout>
                  <c:x val="-3.9909297052154194E-2"/>
                  <c:y val="2.68980775308845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C4-4ADA-AD25-A529F1CD8DCD}"/>
                </c:ext>
              </c:extLst>
            </c:dLbl>
            <c:dLbl>
              <c:idx val="7"/>
              <c:layout>
                <c:manualLayout>
                  <c:x val="-3.888888888888889E-2"/>
                  <c:y val="2.8350808243210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C4-4ADA-AD25-A529F1CD8D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'Winning % By Year'!$A$15:$A$22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'Winning % By Year'!$B$15:$B$22</c:f>
              <c:numCache>
                <c:formatCode>0%</c:formatCode>
                <c:ptCount val="8"/>
                <c:pt idx="0">
                  <c:v>0.4375</c:v>
                </c:pt>
                <c:pt idx="1">
                  <c:v>0.6875</c:v>
                </c:pt>
                <c:pt idx="2">
                  <c:v>0.5</c:v>
                </c:pt>
                <c:pt idx="3">
                  <c:v>0.8125</c:v>
                </c:pt>
                <c:pt idx="4">
                  <c:v>0.53125</c:v>
                </c:pt>
                <c:pt idx="5">
                  <c:v>0.625</c:v>
                </c:pt>
                <c:pt idx="6">
                  <c:v>0.4375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4-4ADA-AD25-A529F1CD8DCD}"/>
            </c:ext>
          </c:extLst>
        </c:ser>
        <c:ser>
          <c:idx val="1"/>
          <c:order val="1"/>
          <c:tx>
            <c:strRef>
              <c:f>'Winning % By Year'!$C$14</c:f>
              <c:strCache>
                <c:ptCount val="1"/>
                <c:pt idx="0">
                  <c:v>Super Bowl Winner</c:v>
                </c:pt>
              </c:strCache>
            </c:strRef>
          </c:tx>
          <c:spPr>
            <a:ln w="381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B0C4-4ADA-AD25-A529F1CD8DCD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0C4-4ADA-AD25-A529F1CD8DCD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0C4-4ADA-AD25-A529F1CD8DCD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0C4-4ADA-AD25-A529F1CD8DCD}"/>
              </c:ext>
            </c:extLst>
          </c:dPt>
          <c:dLbls>
            <c:dLbl>
              <c:idx val="4"/>
              <c:layout>
                <c:manualLayout>
                  <c:x val="-3.1818181818181815E-2"/>
                  <c:y val="2.68980775308845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0C4-4ADA-AD25-A529F1CD8DCD}"/>
                </c:ext>
              </c:extLst>
            </c:dLbl>
            <c:dLbl>
              <c:idx val="5"/>
              <c:layout>
                <c:manualLayout>
                  <c:x val="-2.9713804713804789E-2"/>
                  <c:y val="3.19889333205077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0C4-4ADA-AD25-A529F1CD8DCD}"/>
                </c:ext>
              </c:extLst>
            </c:dLbl>
            <c:dLbl>
              <c:idx val="6"/>
              <c:layout>
                <c:manualLayout>
                  <c:x val="-4.1666666666666768E-2"/>
                  <c:y val="3.2715376226826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0C4-4ADA-AD25-A529F1CD8DCD}"/>
                </c:ext>
              </c:extLst>
            </c:dLbl>
            <c:dLbl>
              <c:idx val="7"/>
              <c:layout>
                <c:manualLayout>
                  <c:x val="-5.286195286195286E-2"/>
                  <c:y val="-2.76243283725660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0C4-4ADA-AD25-A529F1CD8D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'Winning % By Year'!$A$15:$A$22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'Winning % By Year'!$C$15:$C$22</c:f>
              <c:numCache>
                <c:formatCode>0%</c:formatCode>
                <c:ptCount val="8"/>
                <c:pt idx="3">
                  <c:v>0.8125</c:v>
                </c:pt>
                <c:pt idx="4">
                  <c:v>0.6875</c:v>
                </c:pt>
                <c:pt idx="5">
                  <c:v>0.75</c:v>
                </c:pt>
                <c:pt idx="6">
                  <c:v>0.6875</c:v>
                </c:pt>
                <c:pt idx="7">
                  <c:v>0.70588235294117652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4-4ADA-AD25-A529F1CD8DCD}"/>
            </c:ext>
          </c:extLst>
        </c:ser>
        <c:ser>
          <c:idx val="2"/>
          <c:order val="2"/>
          <c:tx>
            <c:strRef>
              <c:f>'Winning % By Year'!$D$14</c:f>
              <c:strCache>
                <c:ptCount val="1"/>
                <c:pt idx="0">
                  <c:v>Super Bowl Runner Up</c:v>
                </c:pt>
              </c:strCache>
            </c:strRef>
          </c:tx>
          <c:spPr>
            <a:ln w="381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dPt>
            <c:idx val="3"/>
            <c:marker>
              <c:symbol val="circle"/>
              <c:size val="6"/>
              <c:spPr>
                <a:solidFill>
                  <a:schemeClr val="accent1">
                    <a:lumMod val="75000"/>
                  </a:schemeClr>
                </a:solidFill>
                <a:ln w="9525">
                  <a:solidFill>
                    <a:schemeClr val="tx2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0C4-4ADA-AD25-A529F1CD8DCD}"/>
              </c:ext>
            </c:extLst>
          </c:dPt>
          <c:dLbls>
            <c:dLbl>
              <c:idx val="3"/>
              <c:layout>
                <c:manualLayout>
                  <c:x val="-7.5662506166610091E-2"/>
                  <c:y val="-2.9232874139356563E-3"/>
                </c:manualLayout>
              </c:layout>
              <c:tx>
                <c:rich>
                  <a:bodyPr/>
                  <a:lstStyle/>
                  <a:p>
                    <a:fld id="{559BA84D-A42F-40EB-88EF-163BB89A76B9}" type="VALUE">
                      <a:rPr lang="en-US" sz="1200" b="1">
                        <a:solidFill>
                          <a:schemeClr val="tx2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B0C4-4ADA-AD25-A529F1CD8DCD}"/>
                </c:ext>
              </c:extLst>
            </c:dLbl>
            <c:dLbl>
              <c:idx val="4"/>
              <c:layout>
                <c:manualLayout>
                  <c:x val="-3.324915824915825E-2"/>
                  <c:y val="-2.4715660542432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0C4-4ADA-AD25-A529F1CD8DCD}"/>
                </c:ext>
              </c:extLst>
            </c:dLbl>
            <c:dLbl>
              <c:idx val="5"/>
              <c:layout>
                <c:manualLayout>
                  <c:x val="-4.1582491582491658E-2"/>
                  <c:y val="-3.0532996202699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0C4-4ADA-AD25-A529F1CD8DCD}"/>
                </c:ext>
              </c:extLst>
            </c:dLbl>
            <c:dLbl>
              <c:idx val="6"/>
              <c:layout>
                <c:manualLayout>
                  <c:x val="-2.8282828282828285E-2"/>
                  <c:y val="-3.2715413191152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0C4-4ADA-AD25-A529F1CD8DCD}"/>
                </c:ext>
              </c:extLst>
            </c:dLbl>
            <c:dLbl>
              <c:idx val="7"/>
              <c:layout>
                <c:manualLayout>
                  <c:x val="-7.4747557596967051E-2"/>
                  <c:y val="-3.628734889814165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875109361329823E-2"/>
                      <c:h val="4.356611912060610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B0C4-4ADA-AD25-A529F1CD8D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'Winning % By Year'!$A$15:$A$22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'Winning % By Year'!$D$15:$D$22</c:f>
              <c:numCache>
                <c:formatCode>0%</c:formatCode>
                <c:ptCount val="8"/>
                <c:pt idx="3">
                  <c:v>0.8125</c:v>
                </c:pt>
                <c:pt idx="4">
                  <c:v>0.8125</c:v>
                </c:pt>
                <c:pt idx="5">
                  <c:v>0.8125</c:v>
                </c:pt>
                <c:pt idx="6">
                  <c:v>0.875</c:v>
                </c:pt>
                <c:pt idx="7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4-4ADA-AD25-A529F1CD8DCD}"/>
            </c:ext>
          </c:extLst>
        </c:ser>
        <c:ser>
          <c:idx val="3"/>
          <c:order val="3"/>
          <c:tx>
            <c:strRef>
              <c:f>'Winning % By Year'!$E$14</c:f>
              <c:strCache>
                <c:ptCount val="1"/>
                <c:pt idx="0">
                  <c:v>2017 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'Winning % By Year'!$A$15:$A$22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'Winning % By Year'!$E$15:$E$22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0C4-4ADA-AD25-A529F1CD8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249808"/>
        <c:axId val="565245008"/>
      </c:lineChart>
      <c:catAx>
        <c:axId val="56524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45008"/>
        <c:crosses val="autoZero"/>
        <c:auto val="1"/>
        <c:lblAlgn val="ctr"/>
        <c:lblOffset val="100"/>
        <c:noMultiLvlLbl val="0"/>
      </c:catAx>
      <c:valAx>
        <c:axId val="565245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151515151515152E-2"/>
              <c:y val="0.16223816263804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4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/>
                </a:solidFill>
              </a:rPr>
              <a:t>Turnovers Vs Winning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'2021 Wins - Losses Model'!$G$1</c:f>
              <c:strCache>
                <c:ptCount val="1"/>
                <c:pt idx="0">
                  <c:v>Turnovers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492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'2021 Wins - Losses Model'!$G$2:$G$33</c:f>
              <c:numCache>
                <c:formatCode>General</c:formatCode>
                <c:ptCount val="32"/>
                <c:pt idx="0">
                  <c:v>15</c:v>
                </c:pt>
                <c:pt idx="1">
                  <c:v>26</c:v>
                </c:pt>
                <c:pt idx="2">
                  <c:v>26</c:v>
                </c:pt>
                <c:pt idx="3">
                  <c:v>22</c:v>
                </c:pt>
                <c:pt idx="4">
                  <c:v>29</c:v>
                </c:pt>
                <c:pt idx="5">
                  <c:v>29</c:v>
                </c:pt>
                <c:pt idx="6">
                  <c:v>21</c:v>
                </c:pt>
                <c:pt idx="7">
                  <c:v>22</c:v>
                </c:pt>
                <c:pt idx="8">
                  <c:v>20</c:v>
                </c:pt>
                <c:pt idx="9">
                  <c:v>18</c:v>
                </c:pt>
                <c:pt idx="10">
                  <c:v>23</c:v>
                </c:pt>
                <c:pt idx="11">
                  <c:v>13</c:v>
                </c:pt>
                <c:pt idx="12">
                  <c:v>22</c:v>
                </c:pt>
                <c:pt idx="13">
                  <c:v>19</c:v>
                </c:pt>
                <c:pt idx="14">
                  <c:v>29</c:v>
                </c:pt>
                <c:pt idx="15">
                  <c:v>25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26</c:v>
                </c:pt>
                <c:pt idx="20">
                  <c:v>13</c:v>
                </c:pt>
                <c:pt idx="21">
                  <c:v>23</c:v>
                </c:pt>
                <c:pt idx="22">
                  <c:v>18</c:v>
                </c:pt>
                <c:pt idx="23">
                  <c:v>30</c:v>
                </c:pt>
                <c:pt idx="24">
                  <c:v>27</c:v>
                </c:pt>
                <c:pt idx="25">
                  <c:v>16</c:v>
                </c:pt>
                <c:pt idx="26">
                  <c:v>20</c:v>
                </c:pt>
                <c:pt idx="27">
                  <c:v>24</c:v>
                </c:pt>
                <c:pt idx="28">
                  <c:v>13</c:v>
                </c:pt>
                <c:pt idx="29">
                  <c:v>19</c:v>
                </c:pt>
                <c:pt idx="30">
                  <c:v>25</c:v>
                </c:pt>
                <c:pt idx="31">
                  <c:v>24</c:v>
                </c:pt>
              </c:numCache>
            </c:numRef>
          </c:xVal>
          <c:yVal>
            <c:numRef>
              <c:f>'2021 Wins - Losses Model'!$E$2:$E$33</c:f>
              <c:numCache>
                <c:formatCode>0.00%</c:formatCode>
                <c:ptCount val="32"/>
                <c:pt idx="0">
                  <c:v>0.6470588235294118</c:v>
                </c:pt>
                <c:pt idx="1">
                  <c:v>0.41176470588235292</c:v>
                </c:pt>
                <c:pt idx="2">
                  <c:v>0.47058823529411764</c:v>
                </c:pt>
                <c:pt idx="3">
                  <c:v>0.6470588235294118</c:v>
                </c:pt>
                <c:pt idx="4">
                  <c:v>0.29411764705882354</c:v>
                </c:pt>
                <c:pt idx="5">
                  <c:v>0.35294117647058826</c:v>
                </c:pt>
                <c:pt idx="6">
                  <c:v>0.58823529411764708</c:v>
                </c:pt>
                <c:pt idx="7">
                  <c:v>0.47058823529411764</c:v>
                </c:pt>
                <c:pt idx="8">
                  <c:v>0.70588235294117652</c:v>
                </c:pt>
                <c:pt idx="9">
                  <c:v>0.41176470588235292</c:v>
                </c:pt>
                <c:pt idx="10">
                  <c:v>0.20588235294117646</c:v>
                </c:pt>
                <c:pt idx="11">
                  <c:v>0.76470588235294112</c:v>
                </c:pt>
                <c:pt idx="12">
                  <c:v>0.23529411764705882</c:v>
                </c:pt>
                <c:pt idx="13">
                  <c:v>0.52941176470588236</c:v>
                </c:pt>
                <c:pt idx="14">
                  <c:v>0.17647058823529413</c:v>
                </c:pt>
                <c:pt idx="15">
                  <c:v>0.70588235294117652</c:v>
                </c:pt>
                <c:pt idx="16">
                  <c:v>0.52941176470588236</c:v>
                </c:pt>
                <c:pt idx="17">
                  <c:v>0.70588235294117652</c:v>
                </c:pt>
                <c:pt idx="18">
                  <c:v>0.58823529411764708</c:v>
                </c:pt>
                <c:pt idx="19">
                  <c:v>0.52941176470588236</c:v>
                </c:pt>
                <c:pt idx="20">
                  <c:v>0.47058823529411764</c:v>
                </c:pt>
                <c:pt idx="21">
                  <c:v>0.58823529411764708</c:v>
                </c:pt>
                <c:pt idx="22">
                  <c:v>0.52941176470588236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0.52941176470588236</c:v>
                </c:pt>
                <c:pt idx="26">
                  <c:v>0.55882352941176472</c:v>
                </c:pt>
                <c:pt idx="27">
                  <c:v>0.58823529411764708</c:v>
                </c:pt>
                <c:pt idx="28">
                  <c:v>0.41176470588235292</c:v>
                </c:pt>
                <c:pt idx="29">
                  <c:v>0.76470588235294112</c:v>
                </c:pt>
                <c:pt idx="30">
                  <c:v>0.70588235294117652</c:v>
                </c:pt>
                <c:pt idx="31">
                  <c:v>0.41176470588235292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7-4670-9E73-982E757E5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07600"/>
        <c:axId val="572107920"/>
      </c:scatterChart>
      <c:valAx>
        <c:axId val="57210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Turnovers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07920"/>
        <c:crosses val="autoZero"/>
        <c:crossBetween val="midCat"/>
      </c:valAx>
      <c:valAx>
        <c:axId val="572107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0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Vikings'</a:t>
            </a:r>
            <a:r>
              <a:rPr lang="en-US" b="1" baseline="0">
                <a:solidFill>
                  <a:schemeClr val="accent2">
                    <a:lumMod val="50000"/>
                  </a:schemeClr>
                </a:solidFill>
              </a:rPr>
              <a:t> and Super Bowl Contenders' </a:t>
            </a:r>
          </a:p>
          <a:p>
            <a:pPr algn="l">
              <a:defRPr/>
            </a:pPr>
            <a:r>
              <a:rPr lang="en-US" b="1" baseline="0">
                <a:solidFill>
                  <a:schemeClr val="accent2">
                    <a:lumMod val="50000"/>
                  </a:schemeClr>
                </a:solidFill>
              </a:rPr>
              <a:t>Winning Percentage Against Over 0.500 Teams</a:t>
            </a:r>
            <a:endParaRPr lang="en-US" b="1">
              <a:solidFill>
                <a:schemeClr val="accent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1.4767534911413914E-2"/>
          <c:y val="1.1120378092855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29880018899823"/>
          <c:y val="0.11423408395885461"/>
          <c:w val="0.69487164780781174"/>
          <c:h val="0.7323095142715166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56B-41F1-B3E1-E16034C6ED4E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56B-41F1-B3E1-E16034C6ED4E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56B-41F1-B3E1-E16034C6ED4E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56B-41F1-B3E1-E16034C6ED4E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56B-41F1-B3E1-E16034C6ED4E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6B-41F1-B3E1-E16034C6ED4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6B-41F1-B3E1-E16034C6ED4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56B-41F1-B3E1-E16034C6ED4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6B-41F1-B3E1-E16034C6ED4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56B-41F1-B3E1-E16034C6ED4E}"/>
              </c:ext>
            </c:extLst>
          </c:dPt>
          <c:dLbls>
            <c:dLbl>
              <c:idx val="1"/>
              <c:layout>
                <c:manualLayout>
                  <c:x val="-6.243496357960461E-2"/>
                  <c:y val="-9.1345897097901296E-17"/>
                </c:manualLayout>
              </c:layout>
              <c:tx>
                <c:rich>
                  <a:bodyPr/>
                  <a:lstStyle/>
                  <a:p>
                    <a:fld id="{485CA99B-A658-4334-B586-123EBCF07438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56B-41F1-B3E1-E16034C6ED4E}"/>
                </c:ext>
              </c:extLst>
            </c:dLbl>
            <c:dLbl>
              <c:idx val="2"/>
              <c:layout>
                <c:manualLayout>
                  <c:x val="-6.416926812348249E-2"/>
                  <c:y val="-9.1345897097901296E-17"/>
                </c:manualLayout>
              </c:layout>
              <c:tx>
                <c:rich>
                  <a:bodyPr/>
                  <a:lstStyle/>
                  <a:p>
                    <a:fld id="{5818C5FF-3909-4D7F-89DB-E83496245090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56B-41F1-B3E1-E16034C6ED4E}"/>
                </c:ext>
              </c:extLst>
            </c:dLbl>
            <c:dLbl>
              <c:idx val="3"/>
              <c:layout>
                <c:manualLayout>
                  <c:x val="-6.5903572667360383E-2"/>
                  <c:y val="-9.1345897097901296E-17"/>
                </c:manualLayout>
              </c:layout>
              <c:tx>
                <c:rich>
                  <a:bodyPr/>
                  <a:lstStyle/>
                  <a:p>
                    <a:fld id="{6183866B-F385-43A0-B506-BD0CD3ED62AE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E56B-41F1-B3E1-E16034C6ED4E}"/>
                </c:ext>
              </c:extLst>
            </c:dLbl>
            <c:dLbl>
              <c:idx val="4"/>
              <c:layout>
                <c:manualLayout>
                  <c:x val="-6.2434963579604576E-2"/>
                  <c:y val="0"/>
                </c:manualLayout>
              </c:layout>
              <c:tx>
                <c:rich>
                  <a:bodyPr/>
                  <a:lstStyle/>
                  <a:p>
                    <a:fld id="{559E6754-C7EC-4E03-B663-0BC8C9B45B18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56B-41F1-B3E1-E16034C6ED4E}"/>
                </c:ext>
              </c:extLst>
            </c:dLbl>
            <c:dLbl>
              <c:idx val="5"/>
              <c:layout>
                <c:manualLayout>
                  <c:x val="-6.0700659035726676E-2"/>
                  <c:y val="0"/>
                </c:manualLayout>
              </c:layout>
              <c:tx>
                <c:rich>
                  <a:bodyPr/>
                  <a:lstStyle/>
                  <a:p>
                    <a:fld id="{966E9465-3503-4AAA-96BC-1CDFF8D26EA1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56B-41F1-B3E1-E16034C6ED4E}"/>
                </c:ext>
              </c:extLst>
            </c:dLbl>
            <c:dLbl>
              <c:idx val="6"/>
              <c:layout>
                <c:manualLayout>
                  <c:x val="-6.2434963579604645E-2"/>
                  <c:y val="-4.5672948548950648E-17"/>
                </c:manualLayout>
              </c:layout>
              <c:tx>
                <c:rich>
                  <a:bodyPr/>
                  <a:lstStyle/>
                  <a:p>
                    <a:fld id="{D6171034-9774-477F-B139-CFE4E4001F98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56B-41F1-B3E1-E16034C6ED4E}"/>
                </c:ext>
              </c:extLst>
            </c:dLbl>
            <c:dLbl>
              <c:idx val="7"/>
              <c:layout>
                <c:manualLayout>
                  <c:x val="-4.6826222684703496E-2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6A6AA99-98C5-471F-9E21-9B7B24A119B8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56B-41F1-B3E1-E16034C6ED4E}"/>
                </c:ext>
              </c:extLst>
            </c:dLbl>
            <c:dLbl>
              <c:idx val="8"/>
              <c:layout>
                <c:manualLayout>
                  <c:x val="-6.5903572667360522E-2"/>
                  <c:y val="0"/>
                </c:manualLayout>
              </c:layout>
              <c:tx>
                <c:rich>
                  <a:bodyPr/>
                  <a:lstStyle/>
                  <a:p>
                    <a:fld id="{10D4C7EB-7C1A-4248-95A8-6DBCE375D047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56B-41F1-B3E1-E16034C6ED4E}"/>
                </c:ext>
              </c:extLst>
            </c:dLbl>
            <c:dLbl>
              <c:idx val="9"/>
              <c:layout>
                <c:manualLayout>
                  <c:x val="-6.5903572667360383E-2"/>
                  <c:y val="-2.2836474274475324E-17"/>
                </c:manualLayout>
              </c:layout>
              <c:tx>
                <c:rich>
                  <a:bodyPr/>
                  <a:lstStyle/>
                  <a:p>
                    <a:fld id="{A95977CF-D742-43C3-830D-C981C242A817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56B-41F1-B3E1-E16034C6ED4E}"/>
                </c:ext>
              </c:extLst>
            </c:dLbl>
            <c:dLbl>
              <c:idx val="10"/>
              <c:layout>
                <c:manualLayout>
                  <c:x val="-6.416926812348249E-2"/>
                  <c:y val="-2.2836474274475324E-17"/>
                </c:manualLayout>
              </c:layout>
              <c:tx>
                <c:rich>
                  <a:bodyPr/>
                  <a:lstStyle/>
                  <a:p>
                    <a:fld id="{F8FB557E-100C-437C-94C7-EE7C6F69B485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56B-41F1-B3E1-E16034C6ED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'Winning % By Year Over 0.500'!$A$19:$A$29</c:f>
              <c:strCache>
                <c:ptCount val="11"/>
                <c:pt idx="0">
                  <c:v>2014 Vikings</c:v>
                </c:pt>
                <c:pt idx="1">
                  <c:v>2018 Vikings</c:v>
                </c:pt>
                <c:pt idx="2">
                  <c:v>2020 Vikings</c:v>
                </c:pt>
                <c:pt idx="3">
                  <c:v>2015 Vikings</c:v>
                </c:pt>
                <c:pt idx="4">
                  <c:v>2019 Vikings</c:v>
                </c:pt>
                <c:pt idx="5">
                  <c:v>2021 Vikings</c:v>
                </c:pt>
                <c:pt idx="6">
                  <c:v>2016 Vikings</c:v>
                </c:pt>
                <c:pt idx="7">
                  <c:v>2020 Tampa</c:v>
                </c:pt>
                <c:pt idx="8">
                  <c:v>2017 Vikings</c:v>
                </c:pt>
                <c:pt idx="9">
                  <c:v>Super Bowl Runner up (Average)</c:v>
                </c:pt>
                <c:pt idx="10">
                  <c:v>Super Bowl Winner (Average)</c:v>
                </c:pt>
              </c:strCache>
            </c:strRef>
          </c:cat>
          <c:val>
            <c:numRef>
              <c:f>'Winning % By Year Over 0.500'!$B$19:$B$29</c:f>
              <c:numCache>
                <c:formatCode>0.00%</c:formatCode>
                <c:ptCount val="11"/>
                <c:pt idx="0">
                  <c:v>0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0.33333333333333331</c:v>
                </c:pt>
                <c:pt idx="6">
                  <c:v>0.44444444444444442</c:v>
                </c:pt>
                <c:pt idx="7">
                  <c:v>0.5</c:v>
                </c:pt>
                <c:pt idx="8">
                  <c:v>0.6</c:v>
                </c:pt>
                <c:pt idx="9">
                  <c:v>0.706666666666667</c:v>
                </c:pt>
                <c:pt idx="10">
                  <c:v>0.71250000000000002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B-41F1-B3E1-E16034C6E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9047672"/>
        <c:axId val="659047352"/>
      </c:barChart>
      <c:catAx>
        <c:axId val="659047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47352"/>
        <c:crosses val="autoZero"/>
        <c:auto val="1"/>
        <c:lblAlgn val="ctr"/>
        <c:lblOffset val="100"/>
        <c:noMultiLvlLbl val="0"/>
      </c:catAx>
      <c:valAx>
        <c:axId val="659047352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4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2">
                    <a:lumMod val="50000"/>
                  </a:schemeClr>
                </a:solidFill>
              </a:rPr>
              <a:t>The Offensive Struggles</a:t>
            </a:r>
          </a:p>
          <a:p>
            <a:pPr algn="l">
              <a:defRPr/>
            </a:pPr>
            <a:r>
              <a:rPr lang="en-US" sz="1600" b="1">
                <a:solidFill>
                  <a:schemeClr val="tx2">
                    <a:lumMod val="50000"/>
                  </a:schemeClr>
                </a:solidFill>
              </a:rPr>
              <a:t>Before Kirk Cousins</a:t>
            </a:r>
          </a:p>
        </c:rich>
      </c:tx>
      <c:layout>
        <c:manualLayout>
          <c:xMode val="edge"/>
          <c:yMode val="edge"/>
          <c:x val="5.6680694538333833E-2"/>
          <c:y val="4.31499460625674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'Net Yards Per Pass Attempt'!$C$13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31438935912938315"/>
                  <c:y val="1.4383315354189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2F-4EE9-A5AE-90BAFB86CC43}"/>
                </c:ext>
              </c:extLst>
            </c:dLbl>
            <c:dLbl>
              <c:idx val="1"/>
              <c:layout>
                <c:manualLayout>
                  <c:x val="0.27206771463119711"/>
                  <c:y val="-3.296138358063428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2F-4EE9-A5AE-90BAFB86CC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'Net Yards Per Pass Attempt'!$B$14:$B$15</c:f>
              <c:strCache>
                <c:ptCount val="2"/>
                <c:pt idx="0">
                  <c:v>Super Bowl Team</c:v>
                </c:pt>
                <c:pt idx="1">
                  <c:v>Vikings</c:v>
                </c:pt>
              </c:strCache>
            </c:strRef>
          </c:cat>
          <c:val>
            <c:numRef>
              <c:f>'Net Yards Per Pass Attempt'!$C$14:$C$15</c:f>
              <c:numCache>
                <c:formatCode>General</c:formatCode>
                <c:ptCount val="2"/>
                <c:pt idx="0">
                  <c:v>6.8750000000000009</c:v>
                </c:pt>
                <c:pt idx="1">
                  <c:v>6.1250000000000009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F-4EE9-A5AE-90BAFB86CC43}"/>
            </c:ext>
          </c:extLst>
        </c:ser>
        <c:ser>
          <c:idx val="1"/>
          <c:order val="1"/>
          <c:tx>
            <c:strRef>
              <c:f>'Net Yards Per Pass Attempt'!$D$13</c:f>
              <c:strCache>
                <c:ptCount val="1"/>
                <c:pt idx="0">
                  <c:v>Column3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2F-4EE9-A5AE-90BAFB86CC4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63E7BDE-E584-465D-A9E1-8080D17CB3C6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92F-4EE9-A5AE-90BAFB86CC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'Net Yards Per Pass Attempt'!$B$14:$B$15</c:f>
              <c:strCache>
                <c:ptCount val="2"/>
                <c:pt idx="0">
                  <c:v>Super Bowl Team</c:v>
                </c:pt>
                <c:pt idx="1">
                  <c:v>Vikings</c:v>
                </c:pt>
              </c:strCache>
            </c:strRef>
          </c:cat>
          <c:val>
            <c:numRef>
              <c:f>'Net Yards Per Pass Attempt'!$D$14:$D$15</c:f>
              <c:numCache>
                <c:formatCode>General</c:formatCode>
                <c:ptCount val="2"/>
                <c:pt idx="0">
                  <c:v>0</c:v>
                </c:pt>
                <c:pt idx="1">
                  <c:v>0.74999999999999911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F-4EE9-A5AE-90BAFB86C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565238608"/>
        <c:axId val="565238928"/>
      </c:barChart>
      <c:catAx>
        <c:axId val="56523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38928"/>
        <c:crosses val="autoZero"/>
        <c:auto val="1"/>
        <c:lblAlgn val="ctr"/>
        <c:lblOffset val="100"/>
        <c:noMultiLvlLbl val="0"/>
      </c:catAx>
      <c:valAx>
        <c:axId val="56523892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Yards / Pass Attempt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3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The Vikings Offense Under</a:t>
            </a:r>
          </a:p>
          <a:p>
            <a:pPr algn="l">
              <a:defRPr/>
            </a:pPr>
            <a:r>
              <a:rPr lang="en-US" sz="1600" b="1"/>
              <a:t>Current</a:t>
            </a:r>
            <a:r>
              <a:rPr lang="en-US" sz="1600" b="1" baseline="0"/>
              <a:t> Regime</a:t>
            </a:r>
          </a:p>
        </c:rich>
      </c:tx>
      <c:layout>
        <c:manualLayout>
          <c:xMode val="edge"/>
          <c:yMode val="edge"/>
          <c:x val="3.9641736118627549E-2"/>
          <c:y val="9.55140474187207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052878877065213E-2"/>
          <c:y val="0.15149303294369262"/>
          <c:w val="0.73070604510065296"/>
          <c:h val="0.7076490159906990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45-4DA7-9DD0-9F3C9B678C3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45-4DA7-9DD0-9F3C9B678C3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45-4DA7-9DD0-9F3C9B678C3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F45-4DA7-9DD0-9F3C9B678C38}"/>
                </c:ext>
              </c:extLst>
            </c:dLbl>
            <c:dLbl>
              <c:idx val="4"/>
              <c:layout>
                <c:manualLayout>
                  <c:x val="-7.0613406242447515E-3"/>
                  <c:y val="2.0515097404020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F45-4DA7-9DD0-9F3C9B678C38}"/>
                </c:ext>
              </c:extLst>
            </c:dLbl>
            <c:dLbl>
              <c:idx val="5"/>
              <c:layout>
                <c:manualLayout>
                  <c:x val="-2.8245362496979093E-2"/>
                  <c:y val="2.93072820057442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F45-4DA7-9DD0-9F3C9B678C38}"/>
                </c:ext>
              </c:extLst>
            </c:dLbl>
            <c:dLbl>
              <c:idx val="6"/>
              <c:layout>
                <c:manualLayout>
                  <c:x val="-3.2952922913142176E-2"/>
                  <c:y val="2.93072820057442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F45-4DA7-9DD0-9F3C9B678C38}"/>
                </c:ext>
              </c:extLst>
            </c:dLbl>
            <c:dLbl>
              <c:idx val="7"/>
              <c:layout>
                <c:manualLayout>
                  <c:x val="-3.5306703121223755E-2"/>
                  <c:y val="2.93072820057441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F45-4DA7-9DD0-9F3C9B678C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Yards Per Pass Attempt'!$B$2:$B$9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'Net Yards Per Pass Attempt'!$C$2:$C$9</c:f>
              <c:numCache>
                <c:formatCode>General</c:formatCode>
                <c:ptCount val="8"/>
                <c:pt idx="0">
                  <c:v>5.7</c:v>
                </c:pt>
                <c:pt idx="1">
                  <c:v>5.9</c:v>
                </c:pt>
                <c:pt idx="2">
                  <c:v>6.1</c:v>
                </c:pt>
                <c:pt idx="3">
                  <c:v>6.8</c:v>
                </c:pt>
                <c:pt idx="4">
                  <c:v>6.2</c:v>
                </c:pt>
                <c:pt idx="5">
                  <c:v>7.1</c:v>
                </c:pt>
                <c:pt idx="6">
                  <c:v>7.2</c:v>
                </c:pt>
                <c:pt idx="7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5-4DA7-9DD0-9F3C9B678C38}"/>
            </c:ext>
          </c:extLst>
        </c:ser>
        <c:ser>
          <c:idx val="1"/>
          <c:order val="1"/>
          <c:spPr>
            <a:ln w="28575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F45-4DA7-9DD0-9F3C9B678C3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F45-4DA7-9DD0-9F3C9B678C3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F45-4DA7-9DD0-9F3C9B678C3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F45-4DA7-9DD0-9F3C9B678C38}"/>
                </c:ext>
              </c:extLst>
            </c:dLbl>
            <c:dLbl>
              <c:idx val="4"/>
              <c:layout>
                <c:manualLayout>
                  <c:x val="-9.4151208323263354E-3"/>
                  <c:y val="-2.6376553805169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F45-4DA7-9DD0-9F3C9B678C38}"/>
                </c:ext>
              </c:extLst>
            </c:dLbl>
            <c:dLbl>
              <c:idx val="5"/>
              <c:layout>
                <c:manualLayout>
                  <c:x val="-3.7660483329305432E-2"/>
                  <c:y val="-3.22380102063186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F45-4DA7-9DD0-9F3C9B678C38}"/>
                </c:ext>
              </c:extLst>
            </c:dLbl>
            <c:dLbl>
              <c:idx val="6"/>
              <c:layout>
                <c:manualLayout>
                  <c:x val="-4.2368043745468507E-2"/>
                  <c:y val="-2.93072820057442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F45-4DA7-9DD0-9F3C9B678C38}"/>
                </c:ext>
              </c:extLst>
            </c:dLbl>
            <c:dLbl>
              <c:idx val="7"/>
              <c:layout>
                <c:manualLayout>
                  <c:x val="-3.7660483329305341E-2"/>
                  <c:y val="-3.22380102063186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45-4DA7-9DD0-9F3C9B678C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'Net Yards Per Pass Attempt'!$B$2:$B$9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'Net Yards Per Pass Attempt'!$F$2:$F$9</c:f>
              <c:numCache>
                <c:formatCode>General</c:formatCode>
                <c:ptCount val="8"/>
                <c:pt idx="0">
                  <c:v>6.55</c:v>
                </c:pt>
                <c:pt idx="1">
                  <c:v>6.45</c:v>
                </c:pt>
                <c:pt idx="2">
                  <c:v>7.85</c:v>
                </c:pt>
                <c:pt idx="3">
                  <c:v>6.65</c:v>
                </c:pt>
                <c:pt idx="4">
                  <c:v>7.35</c:v>
                </c:pt>
                <c:pt idx="5">
                  <c:v>7.45</c:v>
                </c:pt>
                <c:pt idx="6">
                  <c:v>7.25</c:v>
                </c:pt>
                <c:pt idx="7">
                  <c:v>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5-4DA7-9DD0-9F3C9B678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325576"/>
        <c:axId val="596329096"/>
      </c:lineChart>
      <c:catAx>
        <c:axId val="59632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29096"/>
        <c:crosses val="autoZero"/>
        <c:auto val="1"/>
        <c:lblAlgn val="ctr"/>
        <c:lblOffset val="100"/>
        <c:noMultiLvlLbl val="0"/>
      </c:catAx>
      <c:valAx>
        <c:axId val="596329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Yards Per Pass Attempt</a:t>
                </a:r>
              </a:p>
            </c:rich>
          </c:tx>
          <c:layout>
            <c:manualLayout>
              <c:xMode val="edge"/>
              <c:yMode val="edge"/>
              <c:x val="1.8347624053483818E-2"/>
              <c:y val="0.1366464715647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2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2"/>
                </a:solidFill>
              </a:rPr>
              <a:t>Does Kirk Become Less Efficient</a:t>
            </a:r>
          </a:p>
          <a:p>
            <a:pPr algn="l">
              <a:defRPr/>
            </a:pPr>
            <a:r>
              <a:rPr lang="en-US" sz="1800" b="1">
                <a:solidFill>
                  <a:schemeClr val="tx2"/>
                </a:solidFill>
              </a:rPr>
              <a:t>The More He</a:t>
            </a:r>
            <a:r>
              <a:rPr lang="en-US" sz="1800" b="1" baseline="0">
                <a:solidFill>
                  <a:schemeClr val="tx2"/>
                </a:solidFill>
              </a:rPr>
              <a:t> is Asked to Pass?</a:t>
            </a:r>
            <a:endParaRPr lang="en-US" sz="1800" b="1">
              <a:solidFill>
                <a:schemeClr val="tx2"/>
              </a:solidFill>
            </a:endParaRPr>
          </a:p>
        </c:rich>
      </c:tx>
      <c:layout>
        <c:manualLayout>
          <c:xMode val="edge"/>
          <c:yMode val="edge"/>
          <c:x val="1.7360884332766384E-2"/>
          <c:y val="1.7200301672782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647911544851376E-2"/>
          <c:y val="0.15124114977728609"/>
          <c:w val="0.61379819524200174"/>
          <c:h val="0.743211104777891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10"/>
              <c:spPr>
                <a:solidFill>
                  <a:schemeClr val="accent1">
                    <a:lumMod val="40000"/>
                    <a:lumOff val="6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D3F-461A-A081-9382396A1995}"/>
              </c:ext>
            </c:extLst>
          </c:dPt>
          <c:dLbls>
            <c:dLbl>
              <c:idx val="0"/>
              <c:layout>
                <c:manualLayout>
                  <c:x val="-3.6650755813617923E-2"/>
                  <c:y val="2.45718595325464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D3F-461A-A081-9382396A1995}"/>
                </c:ext>
              </c:extLst>
            </c:dLbl>
            <c:dLbl>
              <c:idx val="1"/>
              <c:layout>
                <c:manualLayout>
                  <c:x val="-3.6650755813617923E-2"/>
                  <c:y val="2.45718595325464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D3F-461A-A081-9382396A1995}"/>
                </c:ext>
              </c:extLst>
            </c:dLbl>
            <c:dLbl>
              <c:idx val="2"/>
              <c:layout>
                <c:manualLayout>
                  <c:x val="-3.8579742961703072E-2"/>
                  <c:y val="2.45718595325464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D3F-461A-A081-9382396A1995}"/>
                </c:ext>
              </c:extLst>
            </c:dLbl>
            <c:dLbl>
              <c:idx val="3"/>
              <c:layout>
                <c:manualLayout>
                  <c:x val="-3.6650755813617993E-2"/>
                  <c:y val="1.96574876260371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D3F-461A-A081-9382396A1995}"/>
                </c:ext>
              </c:extLst>
            </c:dLbl>
            <c:dLbl>
              <c:idx val="4"/>
              <c:layout>
                <c:manualLayout>
                  <c:x val="-6.1727588738724845E-2"/>
                  <c:y val="-3.81047628002942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Super</a:t>
                    </a:r>
                    <a:r>
                      <a:rPr lang="en-US" baseline="0"/>
                      <a:t> Bowl</a:t>
                    </a:r>
                  </a:p>
                  <a:p>
                    <a:r>
                      <a:rPr lang="en-US" baseline="0"/>
                      <a:t> Teams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D3F-461A-A081-9382396A19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'Net Yards Per Pass Attempt'!$G$6:$G$10</c:f>
              <c:numCache>
                <c:formatCode>General</c:formatCode>
                <c:ptCount val="5"/>
                <c:pt idx="0">
                  <c:v>64.41</c:v>
                </c:pt>
                <c:pt idx="1">
                  <c:v>51.7</c:v>
                </c:pt>
                <c:pt idx="2">
                  <c:v>54.25</c:v>
                </c:pt>
                <c:pt idx="3">
                  <c:v>58.54</c:v>
                </c:pt>
                <c:pt idx="4">
                  <c:v>58.0625</c:v>
                </c:pt>
              </c:numCache>
            </c:numRef>
          </c:xVal>
          <c:yVal>
            <c:numRef>
              <c:f>'Net Yards Per Pass Attempt'!$C$6:$C$10</c:f>
              <c:numCache>
                <c:formatCode>General</c:formatCode>
                <c:ptCount val="5"/>
                <c:pt idx="0">
                  <c:v>6.2</c:v>
                </c:pt>
                <c:pt idx="1">
                  <c:v>7.1</c:v>
                </c:pt>
                <c:pt idx="2">
                  <c:v>7.2</c:v>
                </c:pt>
                <c:pt idx="3">
                  <c:v>6.7</c:v>
                </c:pt>
                <c:pt idx="4">
                  <c:v>7.3250000000000002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F-461A-A081-9382396A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24776"/>
        <c:axId val="596423816"/>
      </c:scatterChart>
      <c:valAx>
        <c:axId val="596424776"/>
        <c:scaling>
          <c:orientation val="minMax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Pass</a:t>
                </a:r>
                <a:r>
                  <a:rPr lang="en-US" baseline="0"/>
                  <a:t> Play Call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3816"/>
        <c:crosses val="autoZero"/>
        <c:crossBetween val="midCat"/>
      </c:valAx>
      <c:valAx>
        <c:axId val="596423816"/>
        <c:scaling>
          <c:orientation val="minMax"/>
          <c:min val="5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Yards Per Pass</a:t>
                </a:r>
                <a:r>
                  <a:rPr lang="en-US" baseline="0"/>
                  <a:t> Attempt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1222200181476678E-2"/>
              <c:y val="0.142555868088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2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The Vikings' Championship Level</a:t>
            </a:r>
          </a:p>
          <a:p>
            <a:pPr algn="l">
              <a:defRPr/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Defense Under</a:t>
            </a:r>
            <a:r>
              <a:rPr lang="en-US" b="1" baseline="0">
                <a:solidFill>
                  <a:schemeClr val="accent1">
                    <a:lumMod val="50000"/>
                  </a:schemeClr>
                </a:solidFill>
              </a:rPr>
              <a:t> Mike Zimmer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2.6333333333333337E-2"/>
          <c:y val="1.3585301837270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1426071741032"/>
          <c:y val="0.15218051910177893"/>
          <c:w val="0.63671494821949182"/>
          <c:h val="0.72828910593419838"/>
        </c:manualLayout>
      </c:layout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6B3-492D-801E-97677FF58BC5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6B3-492D-801E-97677FF58BC5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6B3-492D-801E-97677FF58BC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6B3-492D-801E-97677FF58BC5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6B3-492D-801E-97677FF58BC5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B3-492D-801E-97677FF58BC5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B3-492D-801E-97677FF58BC5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B3-492D-801E-97677FF58BC5}"/>
              </c:ext>
            </c:extLst>
          </c:dPt>
          <c:dLbls>
            <c:dLbl>
              <c:idx val="0"/>
              <c:layout>
                <c:manualLayout>
                  <c:x val="-9.300402828274477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6B3-492D-801E-97677FF58BC5}"/>
                </c:ext>
              </c:extLst>
            </c:dLbl>
            <c:dLbl>
              <c:idx val="1"/>
              <c:layout>
                <c:manualLayout>
                  <c:x val="-5.812751767671543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6B3-492D-801E-97677FF58BC5}"/>
                </c:ext>
              </c:extLst>
            </c:dLbl>
            <c:dLbl>
              <c:idx val="2"/>
              <c:layout>
                <c:manualLayout>
                  <c:x val="-6.045261838378405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B3-492D-801E-97677FF58BC5}"/>
                </c:ext>
              </c:extLst>
            </c:dLbl>
            <c:dLbl>
              <c:idx val="3"/>
              <c:layout>
                <c:manualLayout>
                  <c:x val="-6.510281979792137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B3-492D-801E-97677FF58BC5}"/>
                </c:ext>
              </c:extLst>
            </c:dLbl>
            <c:dLbl>
              <c:idx val="4"/>
              <c:layout>
                <c:manualLayout>
                  <c:x val="-5.580241696964690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B3-492D-801E-97677FF58BC5}"/>
                </c:ext>
              </c:extLst>
            </c:dLbl>
            <c:dLbl>
              <c:idx val="5"/>
              <c:layout>
                <c:manualLayout>
                  <c:x val="-6.0452618383784136E-2"/>
                  <c:y val="-1.3515335457724981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B3-492D-801E-97677FF58BC5}"/>
                </c:ext>
              </c:extLst>
            </c:dLbl>
            <c:dLbl>
              <c:idx val="6"/>
              <c:layout>
                <c:manualLayout>
                  <c:x val="-5.812751767671552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B3-492D-801E-97677FF58BC5}"/>
                </c:ext>
              </c:extLst>
            </c:dLbl>
            <c:dLbl>
              <c:idx val="7"/>
              <c:layout>
                <c:manualLayout>
                  <c:x val="-6.975302121205852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B3-492D-801E-97677FF58BC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'Points Per 100 Yards Given Up'!$H$3:$H$10</c:f>
              <c:numCache>
                <c:formatCode>General</c:formatCode>
                <c:ptCount val="8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</c:numCache>
            </c:numRef>
          </c:cat>
          <c:val>
            <c:numRef>
              <c:f>'Points Per 100 Yards Given Up'!$I$3:$I$10</c:f>
              <c:numCache>
                <c:formatCode>General</c:formatCode>
                <c:ptCount val="8"/>
                <c:pt idx="0">
                  <c:v>6.5317387304507823</c:v>
                </c:pt>
                <c:pt idx="1">
                  <c:v>7.5492689129052764</c:v>
                </c:pt>
                <c:pt idx="2">
                  <c:v>5.5443732845379694</c:v>
                </c:pt>
                <c:pt idx="3">
                  <c:v>6.8819374369323922</c:v>
                </c:pt>
                <c:pt idx="4">
                  <c:v>5.7078142695356737</c:v>
                </c:pt>
                <c:pt idx="5">
                  <c:v>6.0936879714172285</c:v>
                </c:pt>
                <c:pt idx="6">
                  <c:v>5.4839295442164522</c:v>
                </c:pt>
                <c:pt idx="7">
                  <c:v>6.219401631912965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3-492D-801E-97677FF5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74822776"/>
        <c:axId val="6748224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'Points Per 100 Yards Given Up'!$H$3:$H$10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2021</c:v>
                      </c:pt>
                      <c:pt idx="1">
                        <c:v>2020</c:v>
                      </c:pt>
                      <c:pt idx="2">
                        <c:v>2019</c:v>
                      </c:pt>
                      <c:pt idx="3">
                        <c:v>2018</c:v>
                      </c:pt>
                      <c:pt idx="4">
                        <c:v>2017</c:v>
                      </c:pt>
                      <c:pt idx="5">
                        <c:v>2016</c:v>
                      </c:pt>
                      <c:pt idx="6">
                        <c:v>2015</c:v>
                      </c:pt>
                      <c:pt idx="7">
                        <c:v>2014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'Points Per 100 Yards Given Up'!$H$3:$H$10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2021</c:v>
                      </c:pt>
                      <c:pt idx="1">
                        <c:v>2020</c:v>
                      </c:pt>
                      <c:pt idx="2">
                        <c:v>2019</c:v>
                      </c:pt>
                      <c:pt idx="3">
                        <c:v>2018</c:v>
                      </c:pt>
                      <c:pt idx="4">
                        <c:v>2017</c:v>
                      </c:pt>
                      <c:pt idx="5">
                        <c:v>2016</c:v>
                      </c:pt>
                      <c:pt idx="6">
                        <c:v>2015</c:v>
                      </c:pt>
                      <c:pt idx="7">
                        <c:v>2014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6B3-492D-801E-97677FF58BC5}"/>
                  </c:ext>
                </c:extLst>
              </c15:ser>
            </c15:filteredBarSeries>
          </c:ext>
        </c:extLst>
      </c:barChart>
      <c:catAx>
        <c:axId val="674822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22456"/>
        <c:crosses val="autoZero"/>
        <c:auto val="1"/>
        <c:lblAlgn val="ctr"/>
        <c:lblOffset val="100"/>
        <c:noMultiLvlLbl val="0"/>
      </c:catAx>
      <c:valAx>
        <c:axId val="674822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 Allowed Per 100 Defensive Yards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2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/>
                </a:solidFill>
              </a:rPr>
              <a:t>Penalty Yards Vs Winning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'2021 Wins - Losses Model'!$H$1</c:f>
              <c:strCache>
                <c:ptCount val="1"/>
                <c:pt idx="0">
                  <c:v>Penalty Yards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'2021 Wins - Losses Model'!$H$2:$H$33</c:f>
              <c:numCache>
                <c:formatCode>General</c:formatCode>
                <c:ptCount val="32"/>
                <c:pt idx="0">
                  <c:v>990</c:v>
                </c:pt>
                <c:pt idx="1">
                  <c:v>753</c:v>
                </c:pt>
                <c:pt idx="2">
                  <c:v>852</c:v>
                </c:pt>
                <c:pt idx="3">
                  <c:v>980</c:v>
                </c:pt>
                <c:pt idx="4">
                  <c:v>864</c:v>
                </c:pt>
                <c:pt idx="5">
                  <c:v>914</c:v>
                </c:pt>
                <c:pt idx="6">
                  <c:v>620</c:v>
                </c:pt>
                <c:pt idx="7">
                  <c:v>1035</c:v>
                </c:pt>
                <c:pt idx="8">
                  <c:v>1103</c:v>
                </c:pt>
                <c:pt idx="9">
                  <c:v>711</c:v>
                </c:pt>
                <c:pt idx="10">
                  <c:v>824</c:v>
                </c:pt>
                <c:pt idx="11">
                  <c:v>678</c:v>
                </c:pt>
                <c:pt idx="12">
                  <c:v>978</c:v>
                </c:pt>
                <c:pt idx="13">
                  <c:v>688</c:v>
                </c:pt>
                <c:pt idx="14">
                  <c:v>856</c:v>
                </c:pt>
                <c:pt idx="15">
                  <c:v>925</c:v>
                </c:pt>
                <c:pt idx="16">
                  <c:v>1033</c:v>
                </c:pt>
                <c:pt idx="17">
                  <c:v>637</c:v>
                </c:pt>
                <c:pt idx="18">
                  <c:v>1104</c:v>
                </c:pt>
                <c:pt idx="19">
                  <c:v>825</c:v>
                </c:pt>
                <c:pt idx="20">
                  <c:v>1043</c:v>
                </c:pt>
                <c:pt idx="21">
                  <c:v>854</c:v>
                </c:pt>
                <c:pt idx="22">
                  <c:v>811</c:v>
                </c:pt>
                <c:pt idx="23">
                  <c:v>674</c:v>
                </c:pt>
                <c:pt idx="24">
                  <c:v>860</c:v>
                </c:pt>
                <c:pt idx="25">
                  <c:v>842</c:v>
                </c:pt>
                <c:pt idx="26">
                  <c:v>831</c:v>
                </c:pt>
                <c:pt idx="27">
                  <c:v>1066</c:v>
                </c:pt>
                <c:pt idx="28">
                  <c:v>803</c:v>
                </c:pt>
                <c:pt idx="29">
                  <c:v>874</c:v>
                </c:pt>
                <c:pt idx="30">
                  <c:v>973</c:v>
                </c:pt>
                <c:pt idx="31">
                  <c:v>743</c:v>
                </c:pt>
              </c:numCache>
            </c:numRef>
          </c:xVal>
          <c:yVal>
            <c:numRef>
              <c:f>'2021 Wins - Losses Model'!$E$2:$E$33</c:f>
              <c:numCache>
                <c:formatCode>0.00%</c:formatCode>
                <c:ptCount val="32"/>
                <c:pt idx="0">
                  <c:v>0.6470588235294118</c:v>
                </c:pt>
                <c:pt idx="1">
                  <c:v>0.41176470588235292</c:v>
                </c:pt>
                <c:pt idx="2">
                  <c:v>0.47058823529411764</c:v>
                </c:pt>
                <c:pt idx="3">
                  <c:v>0.6470588235294118</c:v>
                </c:pt>
                <c:pt idx="4">
                  <c:v>0.29411764705882354</c:v>
                </c:pt>
                <c:pt idx="5">
                  <c:v>0.35294117647058826</c:v>
                </c:pt>
                <c:pt idx="6">
                  <c:v>0.58823529411764708</c:v>
                </c:pt>
                <c:pt idx="7">
                  <c:v>0.47058823529411764</c:v>
                </c:pt>
                <c:pt idx="8">
                  <c:v>0.70588235294117652</c:v>
                </c:pt>
                <c:pt idx="9">
                  <c:v>0.41176470588235292</c:v>
                </c:pt>
                <c:pt idx="10">
                  <c:v>0.20588235294117646</c:v>
                </c:pt>
                <c:pt idx="11">
                  <c:v>0.76470588235294112</c:v>
                </c:pt>
                <c:pt idx="12">
                  <c:v>0.23529411764705882</c:v>
                </c:pt>
                <c:pt idx="13">
                  <c:v>0.52941176470588236</c:v>
                </c:pt>
                <c:pt idx="14">
                  <c:v>0.17647058823529413</c:v>
                </c:pt>
                <c:pt idx="15">
                  <c:v>0.70588235294117652</c:v>
                </c:pt>
                <c:pt idx="16">
                  <c:v>0.52941176470588236</c:v>
                </c:pt>
                <c:pt idx="17">
                  <c:v>0.70588235294117652</c:v>
                </c:pt>
                <c:pt idx="18">
                  <c:v>0.58823529411764708</c:v>
                </c:pt>
                <c:pt idx="19">
                  <c:v>0.52941176470588236</c:v>
                </c:pt>
                <c:pt idx="20">
                  <c:v>0.47058823529411764</c:v>
                </c:pt>
                <c:pt idx="21">
                  <c:v>0.58823529411764708</c:v>
                </c:pt>
                <c:pt idx="22">
                  <c:v>0.52941176470588236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0.52941176470588236</c:v>
                </c:pt>
                <c:pt idx="26">
                  <c:v>0.55882352941176472</c:v>
                </c:pt>
                <c:pt idx="27">
                  <c:v>0.58823529411764708</c:v>
                </c:pt>
                <c:pt idx="28">
                  <c:v>0.41176470588235292</c:v>
                </c:pt>
                <c:pt idx="29">
                  <c:v>0.76470588235294112</c:v>
                </c:pt>
                <c:pt idx="30">
                  <c:v>0.70588235294117652</c:v>
                </c:pt>
                <c:pt idx="31">
                  <c:v>0.41176470588235292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5-4BA2-8F13-1724AB494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71184"/>
        <c:axId val="572113360"/>
      </c:scatterChart>
      <c:valAx>
        <c:axId val="34217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Penalty Yards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13360"/>
        <c:crosses val="autoZero"/>
        <c:crossBetween val="midCat"/>
      </c:valAx>
      <c:valAx>
        <c:axId val="572113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7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1"/>
                </a:solidFill>
              </a:rPr>
              <a:t>Pressure Rate Vs Winning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889279612122543E-2"/>
          <c:y val="0.17336738532113471"/>
          <c:w val="0.84614480861219443"/>
          <c:h val="0.619081111599390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'2021 Wins - Losses Model'!$I$1</c:f>
              <c:strCache>
                <c:ptCount val="1"/>
                <c:pt idx="0">
                  <c:v>Pressure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'2021 Wins - Losses Model'!$I$2:$I$33</c:f>
              <c:numCache>
                <c:formatCode>0.00%</c:formatCode>
                <c:ptCount val="32"/>
                <c:pt idx="0">
                  <c:v>0.25900000000000001</c:v>
                </c:pt>
                <c:pt idx="1">
                  <c:v>0.16699999999999998</c:v>
                </c:pt>
                <c:pt idx="2">
                  <c:v>0.23</c:v>
                </c:pt>
                <c:pt idx="3">
                  <c:v>0.308</c:v>
                </c:pt>
                <c:pt idx="4">
                  <c:v>0.26100000000000001</c:v>
                </c:pt>
                <c:pt idx="5">
                  <c:v>0.23100000000000001</c:v>
                </c:pt>
                <c:pt idx="6">
                  <c:v>0.245</c:v>
                </c:pt>
                <c:pt idx="7">
                  <c:v>0.24299999999999999</c:v>
                </c:pt>
                <c:pt idx="8">
                  <c:v>0.27600000000000002</c:v>
                </c:pt>
                <c:pt idx="9">
                  <c:v>0.25900000000000001</c:v>
                </c:pt>
                <c:pt idx="10">
                  <c:v>0.20499999999999999</c:v>
                </c:pt>
                <c:pt idx="11">
                  <c:v>0.24399999999999999</c:v>
                </c:pt>
                <c:pt idx="12">
                  <c:v>0.20699999999999999</c:v>
                </c:pt>
                <c:pt idx="13">
                  <c:v>0.18100000000000002</c:v>
                </c:pt>
                <c:pt idx="14">
                  <c:v>0.24199999999999999</c:v>
                </c:pt>
                <c:pt idx="15">
                  <c:v>0.26400000000000001</c:v>
                </c:pt>
                <c:pt idx="16">
                  <c:v>0.25</c:v>
                </c:pt>
                <c:pt idx="17">
                  <c:v>0.22800000000000001</c:v>
                </c:pt>
                <c:pt idx="18">
                  <c:v>0.24399999999999999</c:v>
                </c:pt>
                <c:pt idx="19">
                  <c:v>0.28499999999999998</c:v>
                </c:pt>
                <c:pt idx="20">
                  <c:v>0.26200000000000001</c:v>
                </c:pt>
                <c:pt idx="21">
                  <c:v>0.25600000000000001</c:v>
                </c:pt>
                <c:pt idx="22">
                  <c:v>0.247</c:v>
                </c:pt>
                <c:pt idx="23">
                  <c:v>0.20100000000000001</c:v>
                </c:pt>
                <c:pt idx="24">
                  <c:v>0.214</c:v>
                </c:pt>
                <c:pt idx="25">
                  <c:v>0.24</c:v>
                </c:pt>
                <c:pt idx="26">
                  <c:v>0.26100000000000001</c:v>
                </c:pt>
                <c:pt idx="27">
                  <c:v>0.24100000000000002</c:v>
                </c:pt>
                <c:pt idx="28">
                  <c:v>0.221</c:v>
                </c:pt>
                <c:pt idx="29">
                  <c:v>0.28600000000000003</c:v>
                </c:pt>
                <c:pt idx="30">
                  <c:v>0.24</c:v>
                </c:pt>
                <c:pt idx="31">
                  <c:v>0.24199999999999999</c:v>
                </c:pt>
              </c:numCache>
            </c:numRef>
          </c:xVal>
          <c:yVal>
            <c:numRef>
              <c:f>'2021 Wins - Losses Model'!$E$2:$E$33</c:f>
              <c:numCache>
                <c:formatCode>0.00%</c:formatCode>
                <c:ptCount val="32"/>
                <c:pt idx="0">
                  <c:v>0.6470588235294118</c:v>
                </c:pt>
                <c:pt idx="1">
                  <c:v>0.41176470588235292</c:v>
                </c:pt>
                <c:pt idx="2">
                  <c:v>0.47058823529411764</c:v>
                </c:pt>
                <c:pt idx="3">
                  <c:v>0.6470588235294118</c:v>
                </c:pt>
                <c:pt idx="4">
                  <c:v>0.29411764705882354</c:v>
                </c:pt>
                <c:pt idx="5">
                  <c:v>0.35294117647058826</c:v>
                </c:pt>
                <c:pt idx="6">
                  <c:v>0.58823529411764708</c:v>
                </c:pt>
                <c:pt idx="7">
                  <c:v>0.47058823529411764</c:v>
                </c:pt>
                <c:pt idx="8">
                  <c:v>0.70588235294117652</c:v>
                </c:pt>
                <c:pt idx="9">
                  <c:v>0.41176470588235292</c:v>
                </c:pt>
                <c:pt idx="10">
                  <c:v>0.20588235294117646</c:v>
                </c:pt>
                <c:pt idx="11">
                  <c:v>0.76470588235294112</c:v>
                </c:pt>
                <c:pt idx="12">
                  <c:v>0.23529411764705882</c:v>
                </c:pt>
                <c:pt idx="13">
                  <c:v>0.52941176470588236</c:v>
                </c:pt>
                <c:pt idx="14">
                  <c:v>0.17647058823529413</c:v>
                </c:pt>
                <c:pt idx="15">
                  <c:v>0.70588235294117652</c:v>
                </c:pt>
                <c:pt idx="16">
                  <c:v>0.52941176470588236</c:v>
                </c:pt>
                <c:pt idx="17">
                  <c:v>0.70588235294117652</c:v>
                </c:pt>
                <c:pt idx="18">
                  <c:v>0.58823529411764708</c:v>
                </c:pt>
                <c:pt idx="19">
                  <c:v>0.52941176470588236</c:v>
                </c:pt>
                <c:pt idx="20">
                  <c:v>0.47058823529411764</c:v>
                </c:pt>
                <c:pt idx="21">
                  <c:v>0.58823529411764708</c:v>
                </c:pt>
                <c:pt idx="22">
                  <c:v>0.52941176470588236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0.52941176470588236</c:v>
                </c:pt>
                <c:pt idx="26">
                  <c:v>0.55882352941176472</c:v>
                </c:pt>
                <c:pt idx="27">
                  <c:v>0.58823529411764708</c:v>
                </c:pt>
                <c:pt idx="28">
                  <c:v>0.41176470588235292</c:v>
                </c:pt>
                <c:pt idx="29">
                  <c:v>0.76470588235294112</c:v>
                </c:pt>
                <c:pt idx="30">
                  <c:v>0.70588235294117652</c:v>
                </c:pt>
                <c:pt idx="31">
                  <c:v>0.41176470588235292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E-4C6D-A171-166C9C86D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46360"/>
        <c:axId val="641146680"/>
      </c:scatterChart>
      <c:valAx>
        <c:axId val="641146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46680"/>
        <c:crosses val="autoZero"/>
        <c:crossBetween val="midCat"/>
      </c:valAx>
      <c:valAx>
        <c:axId val="641146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layout>
            <c:manualLayout>
              <c:xMode val="edge"/>
              <c:yMode val="edge"/>
              <c:x val="0.95668222331031227"/>
              <c:y val="0.27170262147306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4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1"/>
                </a:solidFill>
              </a:rPr>
              <a:t>Opponent Yards per play Vs Winning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708508644103742E-2"/>
          <c:y val="0.1669950721452122"/>
          <c:w val="0.84629585445614319"/>
          <c:h val="0.633082213634913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'2021 Wins - Losses Model'!$J$1</c:f>
              <c:strCache>
                <c:ptCount val="1"/>
                <c:pt idx="0">
                  <c:v>Opponent Yards per play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'2021 Wins - Losses Model'!$J$2:$J$33</c:f>
              <c:numCache>
                <c:formatCode>General</c:formatCode>
                <c:ptCount val="32"/>
                <c:pt idx="0">
                  <c:v>5.4</c:v>
                </c:pt>
                <c:pt idx="1">
                  <c:v>5.6</c:v>
                </c:pt>
                <c:pt idx="2">
                  <c:v>6</c:v>
                </c:pt>
                <c:pt idx="3">
                  <c:v>4.5999999999999996</c:v>
                </c:pt>
                <c:pt idx="4">
                  <c:v>5.0999999999999996</c:v>
                </c:pt>
                <c:pt idx="5">
                  <c:v>5.3</c:v>
                </c:pt>
                <c:pt idx="6">
                  <c:v>5.5</c:v>
                </c:pt>
                <c:pt idx="7">
                  <c:v>5</c:v>
                </c:pt>
                <c:pt idx="8">
                  <c:v>5.5</c:v>
                </c:pt>
                <c:pt idx="9">
                  <c:v>5.3</c:v>
                </c:pt>
                <c:pt idx="10">
                  <c:v>5.9</c:v>
                </c:pt>
                <c:pt idx="11">
                  <c:v>5.4</c:v>
                </c:pt>
                <c:pt idx="12">
                  <c:v>5.9</c:v>
                </c:pt>
                <c:pt idx="13">
                  <c:v>5.6</c:v>
                </c:pt>
                <c:pt idx="14">
                  <c:v>5.6</c:v>
                </c:pt>
                <c:pt idx="15">
                  <c:v>5.9</c:v>
                </c:pt>
                <c:pt idx="16">
                  <c:v>5.6</c:v>
                </c:pt>
                <c:pt idx="17">
                  <c:v>5.2</c:v>
                </c:pt>
                <c:pt idx="18">
                  <c:v>5.2</c:v>
                </c:pt>
                <c:pt idx="19">
                  <c:v>5.3</c:v>
                </c:pt>
                <c:pt idx="20">
                  <c:v>5.7</c:v>
                </c:pt>
                <c:pt idx="21">
                  <c:v>5.0999999999999996</c:v>
                </c:pt>
                <c:pt idx="22">
                  <c:v>5.0999999999999996</c:v>
                </c:pt>
                <c:pt idx="23">
                  <c:v>5.3</c:v>
                </c:pt>
                <c:pt idx="24">
                  <c:v>5.9</c:v>
                </c:pt>
                <c:pt idx="25">
                  <c:v>5.2</c:v>
                </c:pt>
                <c:pt idx="26">
                  <c:v>5.5</c:v>
                </c:pt>
                <c:pt idx="27">
                  <c:v>5.0999999999999996</c:v>
                </c:pt>
                <c:pt idx="28">
                  <c:v>5.4</c:v>
                </c:pt>
                <c:pt idx="29">
                  <c:v>5.2</c:v>
                </c:pt>
                <c:pt idx="30">
                  <c:v>5.4</c:v>
                </c:pt>
                <c:pt idx="31">
                  <c:v>5.7</c:v>
                </c:pt>
              </c:numCache>
            </c:numRef>
          </c:xVal>
          <c:yVal>
            <c:numRef>
              <c:f>'2021 Wins - Losses Model'!$E$2:$E$33</c:f>
              <c:numCache>
                <c:formatCode>0.00%</c:formatCode>
                <c:ptCount val="32"/>
                <c:pt idx="0">
                  <c:v>0.6470588235294118</c:v>
                </c:pt>
                <c:pt idx="1">
                  <c:v>0.41176470588235292</c:v>
                </c:pt>
                <c:pt idx="2">
                  <c:v>0.47058823529411764</c:v>
                </c:pt>
                <c:pt idx="3">
                  <c:v>0.6470588235294118</c:v>
                </c:pt>
                <c:pt idx="4">
                  <c:v>0.29411764705882354</c:v>
                </c:pt>
                <c:pt idx="5">
                  <c:v>0.35294117647058826</c:v>
                </c:pt>
                <c:pt idx="6">
                  <c:v>0.58823529411764708</c:v>
                </c:pt>
                <c:pt idx="7">
                  <c:v>0.47058823529411764</c:v>
                </c:pt>
                <c:pt idx="8">
                  <c:v>0.70588235294117652</c:v>
                </c:pt>
                <c:pt idx="9">
                  <c:v>0.41176470588235292</c:v>
                </c:pt>
                <c:pt idx="10">
                  <c:v>0.20588235294117646</c:v>
                </c:pt>
                <c:pt idx="11">
                  <c:v>0.76470588235294112</c:v>
                </c:pt>
                <c:pt idx="12">
                  <c:v>0.23529411764705882</c:v>
                </c:pt>
                <c:pt idx="13">
                  <c:v>0.52941176470588236</c:v>
                </c:pt>
                <c:pt idx="14">
                  <c:v>0.17647058823529413</c:v>
                </c:pt>
                <c:pt idx="15">
                  <c:v>0.70588235294117652</c:v>
                </c:pt>
                <c:pt idx="16">
                  <c:v>0.52941176470588236</c:v>
                </c:pt>
                <c:pt idx="17">
                  <c:v>0.70588235294117652</c:v>
                </c:pt>
                <c:pt idx="18">
                  <c:v>0.58823529411764708</c:v>
                </c:pt>
                <c:pt idx="19">
                  <c:v>0.52941176470588236</c:v>
                </c:pt>
                <c:pt idx="20">
                  <c:v>0.47058823529411764</c:v>
                </c:pt>
                <c:pt idx="21">
                  <c:v>0.58823529411764708</c:v>
                </c:pt>
                <c:pt idx="22">
                  <c:v>0.52941176470588236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0.52941176470588236</c:v>
                </c:pt>
                <c:pt idx="26">
                  <c:v>0.55882352941176472</c:v>
                </c:pt>
                <c:pt idx="27">
                  <c:v>0.58823529411764708</c:v>
                </c:pt>
                <c:pt idx="28">
                  <c:v>0.41176470588235292</c:v>
                </c:pt>
                <c:pt idx="29">
                  <c:v>0.76470588235294112</c:v>
                </c:pt>
                <c:pt idx="30">
                  <c:v>0.70588235294117652</c:v>
                </c:pt>
                <c:pt idx="31">
                  <c:v>0.41176470588235292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6-45D8-BD68-26707F488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008528"/>
        <c:axId val="512011728"/>
      </c:scatterChart>
      <c:valAx>
        <c:axId val="51200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Opponents Yards per Play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11728"/>
        <c:crosses val="autoZero"/>
        <c:crossBetween val="midCat"/>
      </c:valAx>
      <c:valAx>
        <c:axId val="51201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layout>
            <c:manualLayout>
              <c:xMode val="edge"/>
              <c:yMode val="edge"/>
              <c:x val="0.95031265179347191"/>
              <c:y val="0.28065657460913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0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1"/>
                </a:solidFill>
              </a:rPr>
              <a:t>Turnovers Forced Vs Winning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'2021 Wins - Losses Model'!$K$1</c:f>
              <c:strCache>
                <c:ptCount val="1"/>
                <c:pt idx="0">
                  <c:v>Opponent Turnovers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'2021 Wins - Losses Model'!$K$2:$K$33</c:f>
              <c:numCache>
                <c:formatCode>General</c:formatCode>
                <c:ptCount val="32"/>
                <c:pt idx="0">
                  <c:v>27</c:v>
                </c:pt>
                <c:pt idx="1">
                  <c:v>20</c:v>
                </c:pt>
                <c:pt idx="2">
                  <c:v>15</c:v>
                </c:pt>
                <c:pt idx="3">
                  <c:v>30</c:v>
                </c:pt>
                <c:pt idx="4">
                  <c:v>16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34</c:v>
                </c:pt>
                <c:pt idx="9">
                  <c:v>19</c:v>
                </c:pt>
                <c:pt idx="10">
                  <c:v>19</c:v>
                </c:pt>
                <c:pt idx="11">
                  <c:v>26</c:v>
                </c:pt>
                <c:pt idx="12">
                  <c:v>25</c:v>
                </c:pt>
                <c:pt idx="13">
                  <c:v>33</c:v>
                </c:pt>
                <c:pt idx="14">
                  <c:v>9</c:v>
                </c:pt>
                <c:pt idx="15">
                  <c:v>29</c:v>
                </c:pt>
                <c:pt idx="16">
                  <c:v>21</c:v>
                </c:pt>
                <c:pt idx="17">
                  <c:v>25</c:v>
                </c:pt>
                <c:pt idx="18">
                  <c:v>15</c:v>
                </c:pt>
                <c:pt idx="19">
                  <c:v>26</c:v>
                </c:pt>
                <c:pt idx="20">
                  <c:v>24</c:v>
                </c:pt>
                <c:pt idx="21">
                  <c:v>30</c:v>
                </c:pt>
                <c:pt idx="22">
                  <c:v>25</c:v>
                </c:pt>
                <c:pt idx="23">
                  <c:v>22</c:v>
                </c:pt>
                <c:pt idx="24">
                  <c:v>14</c:v>
                </c:pt>
                <c:pt idx="25">
                  <c:v>16</c:v>
                </c:pt>
                <c:pt idx="26">
                  <c:v>22</c:v>
                </c:pt>
                <c:pt idx="27">
                  <c:v>20</c:v>
                </c:pt>
                <c:pt idx="28">
                  <c:v>18</c:v>
                </c:pt>
                <c:pt idx="29">
                  <c:v>29</c:v>
                </c:pt>
                <c:pt idx="30">
                  <c:v>22</c:v>
                </c:pt>
                <c:pt idx="31">
                  <c:v>19</c:v>
                </c:pt>
              </c:numCache>
            </c:numRef>
          </c:xVal>
          <c:yVal>
            <c:numRef>
              <c:f>'2021 Wins - Losses Model'!$E$2:$E$33</c:f>
              <c:numCache>
                <c:formatCode>0.00%</c:formatCode>
                <c:ptCount val="32"/>
                <c:pt idx="0">
                  <c:v>0.6470588235294118</c:v>
                </c:pt>
                <c:pt idx="1">
                  <c:v>0.41176470588235292</c:v>
                </c:pt>
                <c:pt idx="2">
                  <c:v>0.47058823529411764</c:v>
                </c:pt>
                <c:pt idx="3">
                  <c:v>0.6470588235294118</c:v>
                </c:pt>
                <c:pt idx="4">
                  <c:v>0.29411764705882354</c:v>
                </c:pt>
                <c:pt idx="5">
                  <c:v>0.35294117647058826</c:v>
                </c:pt>
                <c:pt idx="6">
                  <c:v>0.58823529411764708</c:v>
                </c:pt>
                <c:pt idx="7">
                  <c:v>0.47058823529411764</c:v>
                </c:pt>
                <c:pt idx="8">
                  <c:v>0.70588235294117652</c:v>
                </c:pt>
                <c:pt idx="9">
                  <c:v>0.41176470588235292</c:v>
                </c:pt>
                <c:pt idx="10">
                  <c:v>0.20588235294117646</c:v>
                </c:pt>
                <c:pt idx="11">
                  <c:v>0.76470588235294112</c:v>
                </c:pt>
                <c:pt idx="12">
                  <c:v>0.23529411764705882</c:v>
                </c:pt>
                <c:pt idx="13">
                  <c:v>0.52941176470588236</c:v>
                </c:pt>
                <c:pt idx="14">
                  <c:v>0.17647058823529413</c:v>
                </c:pt>
                <c:pt idx="15">
                  <c:v>0.70588235294117652</c:v>
                </c:pt>
                <c:pt idx="16">
                  <c:v>0.52941176470588236</c:v>
                </c:pt>
                <c:pt idx="17">
                  <c:v>0.70588235294117652</c:v>
                </c:pt>
                <c:pt idx="18">
                  <c:v>0.58823529411764708</c:v>
                </c:pt>
                <c:pt idx="19">
                  <c:v>0.52941176470588236</c:v>
                </c:pt>
                <c:pt idx="20">
                  <c:v>0.47058823529411764</c:v>
                </c:pt>
                <c:pt idx="21">
                  <c:v>0.58823529411764708</c:v>
                </c:pt>
                <c:pt idx="22">
                  <c:v>0.52941176470588236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0.52941176470588236</c:v>
                </c:pt>
                <c:pt idx="26">
                  <c:v>0.55882352941176472</c:v>
                </c:pt>
                <c:pt idx="27">
                  <c:v>0.58823529411764708</c:v>
                </c:pt>
                <c:pt idx="28">
                  <c:v>0.41176470588235292</c:v>
                </c:pt>
                <c:pt idx="29">
                  <c:v>0.76470588235294112</c:v>
                </c:pt>
                <c:pt idx="30">
                  <c:v>0.70588235294117652</c:v>
                </c:pt>
                <c:pt idx="31">
                  <c:v>0.41176470588235292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E6-47AE-8FD7-88218C92F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56600"/>
        <c:axId val="641152760"/>
      </c:scatterChart>
      <c:valAx>
        <c:axId val="64115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Turnovers Forced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52760"/>
        <c:crosses val="autoZero"/>
        <c:crossBetween val="midCat"/>
      </c:valAx>
      <c:valAx>
        <c:axId val="641152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5660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accent1"/>
                </a:solidFill>
              </a:rPr>
              <a:t>Net Yards Per Pass Attempt Vs Winning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111111111111113E-2"/>
          <c:y val="0.18300925925925926"/>
          <c:w val="0.84275218722659673"/>
          <c:h val="0.611419874599008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'2021 Wins - Losses Model'!$L$1</c:f>
              <c:strCache>
                <c:ptCount val="1"/>
                <c:pt idx="0">
                  <c:v>Net Yards per Pass Attempt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'2021 Wins - Losses Model'!$L$2:$L$33</c:f>
              <c:numCache>
                <c:formatCode>General</c:formatCode>
                <c:ptCount val="32"/>
                <c:pt idx="0">
                  <c:v>6.8</c:v>
                </c:pt>
                <c:pt idx="1">
                  <c:v>6.1</c:v>
                </c:pt>
                <c:pt idx="2">
                  <c:v>5.9</c:v>
                </c:pt>
                <c:pt idx="3">
                  <c:v>6.3</c:v>
                </c:pt>
                <c:pt idx="4">
                  <c:v>5</c:v>
                </c:pt>
                <c:pt idx="5">
                  <c:v>5.3</c:v>
                </c:pt>
                <c:pt idx="6">
                  <c:v>7.2</c:v>
                </c:pt>
                <c:pt idx="7">
                  <c:v>5.8</c:v>
                </c:pt>
                <c:pt idx="8">
                  <c:v>7.1</c:v>
                </c:pt>
                <c:pt idx="9">
                  <c:v>6.2</c:v>
                </c:pt>
                <c:pt idx="10">
                  <c:v>5.7</c:v>
                </c:pt>
                <c:pt idx="11">
                  <c:v>6.9</c:v>
                </c:pt>
                <c:pt idx="12">
                  <c:v>5.6</c:v>
                </c:pt>
                <c:pt idx="13">
                  <c:v>6.1</c:v>
                </c:pt>
                <c:pt idx="14">
                  <c:v>5.4</c:v>
                </c:pt>
                <c:pt idx="15">
                  <c:v>6.8</c:v>
                </c:pt>
                <c:pt idx="16">
                  <c:v>6.8</c:v>
                </c:pt>
                <c:pt idx="17">
                  <c:v>7.3</c:v>
                </c:pt>
                <c:pt idx="18">
                  <c:v>6.8</c:v>
                </c:pt>
                <c:pt idx="19">
                  <c:v>5.6</c:v>
                </c:pt>
                <c:pt idx="20">
                  <c:v>6.7</c:v>
                </c:pt>
                <c:pt idx="21">
                  <c:v>6.9</c:v>
                </c:pt>
                <c:pt idx="22">
                  <c:v>5.9</c:v>
                </c:pt>
                <c:pt idx="23">
                  <c:v>5.0999999999999996</c:v>
                </c:pt>
                <c:pt idx="24">
                  <c:v>5.4</c:v>
                </c:pt>
                <c:pt idx="25">
                  <c:v>6.5</c:v>
                </c:pt>
                <c:pt idx="26">
                  <c:v>5.4</c:v>
                </c:pt>
                <c:pt idx="27">
                  <c:v>7.7</c:v>
                </c:pt>
                <c:pt idx="28">
                  <c:v>6.3</c:v>
                </c:pt>
                <c:pt idx="29">
                  <c:v>6.9</c:v>
                </c:pt>
                <c:pt idx="30">
                  <c:v>5.9</c:v>
                </c:pt>
                <c:pt idx="31">
                  <c:v>5.8</c:v>
                </c:pt>
              </c:numCache>
            </c:numRef>
          </c:xVal>
          <c:yVal>
            <c:numRef>
              <c:f>'2021 Wins - Losses Model'!$E$2:$E$33</c:f>
              <c:numCache>
                <c:formatCode>0.00%</c:formatCode>
                <c:ptCount val="32"/>
                <c:pt idx="0">
                  <c:v>0.6470588235294118</c:v>
                </c:pt>
                <c:pt idx="1">
                  <c:v>0.41176470588235292</c:v>
                </c:pt>
                <c:pt idx="2">
                  <c:v>0.47058823529411764</c:v>
                </c:pt>
                <c:pt idx="3">
                  <c:v>0.6470588235294118</c:v>
                </c:pt>
                <c:pt idx="4">
                  <c:v>0.29411764705882354</c:v>
                </c:pt>
                <c:pt idx="5">
                  <c:v>0.35294117647058826</c:v>
                </c:pt>
                <c:pt idx="6">
                  <c:v>0.58823529411764708</c:v>
                </c:pt>
                <c:pt idx="7">
                  <c:v>0.47058823529411764</c:v>
                </c:pt>
                <c:pt idx="8">
                  <c:v>0.70588235294117652</c:v>
                </c:pt>
                <c:pt idx="9">
                  <c:v>0.41176470588235292</c:v>
                </c:pt>
                <c:pt idx="10">
                  <c:v>0.20588235294117646</c:v>
                </c:pt>
                <c:pt idx="11">
                  <c:v>0.76470588235294112</c:v>
                </c:pt>
                <c:pt idx="12">
                  <c:v>0.23529411764705882</c:v>
                </c:pt>
                <c:pt idx="13">
                  <c:v>0.52941176470588236</c:v>
                </c:pt>
                <c:pt idx="14">
                  <c:v>0.17647058823529413</c:v>
                </c:pt>
                <c:pt idx="15">
                  <c:v>0.70588235294117652</c:v>
                </c:pt>
                <c:pt idx="16">
                  <c:v>0.52941176470588236</c:v>
                </c:pt>
                <c:pt idx="17">
                  <c:v>0.70588235294117652</c:v>
                </c:pt>
                <c:pt idx="18">
                  <c:v>0.58823529411764708</c:v>
                </c:pt>
                <c:pt idx="19">
                  <c:v>0.52941176470588236</c:v>
                </c:pt>
                <c:pt idx="20">
                  <c:v>0.47058823529411764</c:v>
                </c:pt>
                <c:pt idx="21">
                  <c:v>0.58823529411764708</c:v>
                </c:pt>
                <c:pt idx="22">
                  <c:v>0.52941176470588236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0.52941176470588236</c:v>
                </c:pt>
                <c:pt idx="26">
                  <c:v>0.55882352941176472</c:v>
                </c:pt>
                <c:pt idx="27">
                  <c:v>0.58823529411764708</c:v>
                </c:pt>
                <c:pt idx="28">
                  <c:v>0.41176470588235292</c:v>
                </c:pt>
                <c:pt idx="29">
                  <c:v>0.76470588235294112</c:v>
                </c:pt>
                <c:pt idx="30">
                  <c:v>0.70588235294117652</c:v>
                </c:pt>
                <c:pt idx="31">
                  <c:v>0.41176470588235292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85-4D95-871E-3D2F102B1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04568"/>
        <c:axId val="623103928"/>
      </c:scatterChart>
      <c:valAx>
        <c:axId val="623104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</a:t>
                </a:r>
                <a:r>
                  <a:rPr lang="en-US" baseline="0"/>
                  <a:t> Yards Per Pass Attempt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03928"/>
        <c:crosses val="autoZero"/>
        <c:crossBetween val="midCat"/>
      </c:valAx>
      <c:valAx>
        <c:axId val="623103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layout>
            <c:manualLayout>
              <c:xMode val="edge"/>
              <c:yMode val="edge"/>
              <c:x val="0.9555555555555556"/>
              <c:y val="0.28473753280839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0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/>
                </a:solidFill>
              </a:rPr>
              <a:t>Yards Per Carry</a:t>
            </a:r>
            <a:r>
              <a:rPr lang="en-US" sz="1800" b="1" baseline="0">
                <a:solidFill>
                  <a:schemeClr val="accent1"/>
                </a:solidFill>
              </a:rPr>
              <a:t> Vs Winning %</a:t>
            </a:r>
            <a:endParaRPr lang="en-US" sz="1800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'2021 Wins - Losses Model'!$M$2:$M$33</c:f>
              <c:numCache>
                <c:formatCode>General</c:formatCode>
                <c:ptCount val="32"/>
                <c:pt idx="0">
                  <c:v>4.2</c:v>
                </c:pt>
                <c:pt idx="1">
                  <c:v>3.7</c:v>
                </c:pt>
                <c:pt idx="2">
                  <c:v>4.8</c:v>
                </c:pt>
                <c:pt idx="3">
                  <c:v>4.8</c:v>
                </c:pt>
                <c:pt idx="4">
                  <c:v>4</c:v>
                </c:pt>
                <c:pt idx="5">
                  <c:v>4.2</c:v>
                </c:pt>
                <c:pt idx="6">
                  <c:v>4</c:v>
                </c:pt>
                <c:pt idx="7">
                  <c:v>5.0999999999999996</c:v>
                </c:pt>
                <c:pt idx="8">
                  <c:v>4.5</c:v>
                </c:pt>
                <c:pt idx="9">
                  <c:v>4.5</c:v>
                </c:pt>
                <c:pt idx="10">
                  <c:v>4.4000000000000004</c:v>
                </c:pt>
                <c:pt idx="11">
                  <c:v>4.3</c:v>
                </c:pt>
                <c:pt idx="12">
                  <c:v>3.4</c:v>
                </c:pt>
                <c:pt idx="13">
                  <c:v>5.0999999999999996</c:v>
                </c:pt>
                <c:pt idx="14">
                  <c:v>4.5</c:v>
                </c:pt>
                <c:pt idx="15">
                  <c:v>4.5</c:v>
                </c:pt>
                <c:pt idx="16">
                  <c:v>4.3</c:v>
                </c:pt>
                <c:pt idx="17">
                  <c:v>4</c:v>
                </c:pt>
                <c:pt idx="18">
                  <c:v>3.9</c:v>
                </c:pt>
                <c:pt idx="19">
                  <c:v>3.5</c:v>
                </c:pt>
                <c:pt idx="20">
                  <c:v>4.3</c:v>
                </c:pt>
                <c:pt idx="21">
                  <c:v>4.4000000000000004</c:v>
                </c:pt>
                <c:pt idx="22">
                  <c:v>3.9</c:v>
                </c:pt>
                <c:pt idx="23">
                  <c:v>4</c:v>
                </c:pt>
                <c:pt idx="24">
                  <c:v>4.4000000000000004</c:v>
                </c:pt>
                <c:pt idx="25">
                  <c:v>4.9000000000000004</c:v>
                </c:pt>
                <c:pt idx="26">
                  <c:v>3.9</c:v>
                </c:pt>
                <c:pt idx="27">
                  <c:v>4.3</c:v>
                </c:pt>
                <c:pt idx="28">
                  <c:v>5</c:v>
                </c:pt>
                <c:pt idx="29">
                  <c:v>4.3</c:v>
                </c:pt>
                <c:pt idx="30">
                  <c:v>4.4000000000000004</c:v>
                </c:pt>
                <c:pt idx="31">
                  <c:v>4.3</c:v>
                </c:pt>
              </c:numCache>
            </c:numRef>
          </c:xVal>
          <c:yVal>
            <c:numRef>
              <c:f>'2021 Wins - Losses Model'!$E$2:$E$33</c:f>
              <c:numCache>
                <c:formatCode>0.00%</c:formatCode>
                <c:ptCount val="32"/>
                <c:pt idx="0">
                  <c:v>0.6470588235294118</c:v>
                </c:pt>
                <c:pt idx="1">
                  <c:v>0.41176470588235292</c:v>
                </c:pt>
                <c:pt idx="2">
                  <c:v>0.47058823529411764</c:v>
                </c:pt>
                <c:pt idx="3">
                  <c:v>0.6470588235294118</c:v>
                </c:pt>
                <c:pt idx="4">
                  <c:v>0.29411764705882354</c:v>
                </c:pt>
                <c:pt idx="5">
                  <c:v>0.35294117647058826</c:v>
                </c:pt>
                <c:pt idx="6">
                  <c:v>0.58823529411764708</c:v>
                </c:pt>
                <c:pt idx="7">
                  <c:v>0.47058823529411764</c:v>
                </c:pt>
                <c:pt idx="8">
                  <c:v>0.70588235294117652</c:v>
                </c:pt>
                <c:pt idx="9">
                  <c:v>0.41176470588235292</c:v>
                </c:pt>
                <c:pt idx="10">
                  <c:v>0.20588235294117646</c:v>
                </c:pt>
                <c:pt idx="11">
                  <c:v>0.76470588235294112</c:v>
                </c:pt>
                <c:pt idx="12">
                  <c:v>0.23529411764705882</c:v>
                </c:pt>
                <c:pt idx="13">
                  <c:v>0.52941176470588236</c:v>
                </c:pt>
                <c:pt idx="14">
                  <c:v>0.17647058823529413</c:v>
                </c:pt>
                <c:pt idx="15">
                  <c:v>0.70588235294117652</c:v>
                </c:pt>
                <c:pt idx="16">
                  <c:v>0.52941176470588236</c:v>
                </c:pt>
                <c:pt idx="17">
                  <c:v>0.70588235294117652</c:v>
                </c:pt>
                <c:pt idx="18">
                  <c:v>0.58823529411764708</c:v>
                </c:pt>
                <c:pt idx="19">
                  <c:v>0.52941176470588236</c:v>
                </c:pt>
                <c:pt idx="20">
                  <c:v>0.47058823529411764</c:v>
                </c:pt>
                <c:pt idx="21">
                  <c:v>0.58823529411764708</c:v>
                </c:pt>
                <c:pt idx="22">
                  <c:v>0.52941176470588236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0.52941176470588236</c:v>
                </c:pt>
                <c:pt idx="26">
                  <c:v>0.55882352941176472</c:v>
                </c:pt>
                <c:pt idx="27">
                  <c:v>0.58823529411764708</c:v>
                </c:pt>
                <c:pt idx="28">
                  <c:v>0.41176470588235292</c:v>
                </c:pt>
                <c:pt idx="29">
                  <c:v>0.76470588235294112</c:v>
                </c:pt>
                <c:pt idx="30">
                  <c:v>0.70588235294117652</c:v>
                </c:pt>
                <c:pt idx="31">
                  <c:v>0.41176470588235292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B-4EB8-B459-F86561A7E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05360"/>
        <c:axId val="514907280"/>
      </c:scatterChart>
      <c:valAx>
        <c:axId val="51490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Yards Per Carry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07280"/>
        <c:crosses val="autoZero"/>
        <c:crossBetween val="midCat"/>
      </c:valAx>
      <c:valAx>
        <c:axId val="514907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>
                <a:solidFill>
                  <a:schemeClr val="accent1"/>
                </a:solidFill>
              </a:rPr>
              <a:t>Opponent Net Yard Per</a:t>
            </a:r>
            <a:r>
              <a:rPr lang="en-US" sz="1300" b="1" baseline="0">
                <a:solidFill>
                  <a:schemeClr val="accent1"/>
                </a:solidFill>
              </a:rPr>
              <a:t> Pass Attempt Vs Winning %</a:t>
            </a:r>
            <a:endParaRPr lang="en-US" sz="1300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569553805774277E-2"/>
          <c:y val="0.1660648148148148"/>
          <c:w val="0.84275218722659673"/>
          <c:h val="0.6283643190434529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'2021 Wins - Losses Model'!$N$2:$N$33</c:f>
              <c:numCache>
                <c:formatCode>General</c:formatCode>
                <c:ptCount val="32"/>
                <c:pt idx="0">
                  <c:v>6.1</c:v>
                </c:pt>
                <c:pt idx="1">
                  <c:v>6.6</c:v>
                </c:pt>
                <c:pt idx="2">
                  <c:v>7.2</c:v>
                </c:pt>
                <c:pt idx="3">
                  <c:v>4.8</c:v>
                </c:pt>
                <c:pt idx="4">
                  <c:v>5.9</c:v>
                </c:pt>
                <c:pt idx="5">
                  <c:v>6.2</c:v>
                </c:pt>
                <c:pt idx="6">
                  <c:v>6.3</c:v>
                </c:pt>
                <c:pt idx="7">
                  <c:v>5.6</c:v>
                </c:pt>
                <c:pt idx="8">
                  <c:v>6.2</c:v>
                </c:pt>
                <c:pt idx="9">
                  <c:v>6.1</c:v>
                </c:pt>
                <c:pt idx="10">
                  <c:v>7.2</c:v>
                </c:pt>
                <c:pt idx="11">
                  <c:v>5.8</c:v>
                </c:pt>
                <c:pt idx="12">
                  <c:v>7.1</c:v>
                </c:pt>
                <c:pt idx="13">
                  <c:v>6.3</c:v>
                </c:pt>
                <c:pt idx="14">
                  <c:v>6.7</c:v>
                </c:pt>
                <c:pt idx="15">
                  <c:v>6.7</c:v>
                </c:pt>
                <c:pt idx="16">
                  <c:v>6.3</c:v>
                </c:pt>
                <c:pt idx="17">
                  <c:v>6.1</c:v>
                </c:pt>
                <c:pt idx="18">
                  <c:v>5.9</c:v>
                </c:pt>
                <c:pt idx="19">
                  <c:v>5.9</c:v>
                </c:pt>
                <c:pt idx="20">
                  <c:v>6.4</c:v>
                </c:pt>
                <c:pt idx="21">
                  <c:v>5.5</c:v>
                </c:pt>
                <c:pt idx="22">
                  <c:v>6</c:v>
                </c:pt>
                <c:pt idx="23">
                  <c:v>6</c:v>
                </c:pt>
                <c:pt idx="24">
                  <c:v>7.1</c:v>
                </c:pt>
                <c:pt idx="25">
                  <c:v>6.1</c:v>
                </c:pt>
                <c:pt idx="26">
                  <c:v>5.9</c:v>
                </c:pt>
                <c:pt idx="27">
                  <c:v>5.9</c:v>
                </c:pt>
                <c:pt idx="28">
                  <c:v>6.5</c:v>
                </c:pt>
                <c:pt idx="29">
                  <c:v>5.6</c:v>
                </c:pt>
                <c:pt idx="30">
                  <c:v>6.2</c:v>
                </c:pt>
                <c:pt idx="31">
                  <c:v>6.8</c:v>
                </c:pt>
              </c:numCache>
            </c:numRef>
          </c:xVal>
          <c:yVal>
            <c:numRef>
              <c:f>'2021 Wins - Losses Model'!$E$2:$E$33</c:f>
              <c:numCache>
                <c:formatCode>0.00%</c:formatCode>
                <c:ptCount val="32"/>
                <c:pt idx="0">
                  <c:v>0.6470588235294118</c:v>
                </c:pt>
                <c:pt idx="1">
                  <c:v>0.41176470588235292</c:v>
                </c:pt>
                <c:pt idx="2">
                  <c:v>0.47058823529411764</c:v>
                </c:pt>
                <c:pt idx="3">
                  <c:v>0.6470588235294118</c:v>
                </c:pt>
                <c:pt idx="4">
                  <c:v>0.29411764705882354</c:v>
                </c:pt>
                <c:pt idx="5">
                  <c:v>0.35294117647058826</c:v>
                </c:pt>
                <c:pt idx="6">
                  <c:v>0.58823529411764708</c:v>
                </c:pt>
                <c:pt idx="7">
                  <c:v>0.47058823529411764</c:v>
                </c:pt>
                <c:pt idx="8">
                  <c:v>0.70588235294117652</c:v>
                </c:pt>
                <c:pt idx="9">
                  <c:v>0.41176470588235292</c:v>
                </c:pt>
                <c:pt idx="10">
                  <c:v>0.20588235294117646</c:v>
                </c:pt>
                <c:pt idx="11">
                  <c:v>0.76470588235294112</c:v>
                </c:pt>
                <c:pt idx="12">
                  <c:v>0.23529411764705882</c:v>
                </c:pt>
                <c:pt idx="13">
                  <c:v>0.52941176470588236</c:v>
                </c:pt>
                <c:pt idx="14">
                  <c:v>0.17647058823529413</c:v>
                </c:pt>
                <c:pt idx="15">
                  <c:v>0.70588235294117652</c:v>
                </c:pt>
                <c:pt idx="16">
                  <c:v>0.52941176470588236</c:v>
                </c:pt>
                <c:pt idx="17">
                  <c:v>0.70588235294117652</c:v>
                </c:pt>
                <c:pt idx="18">
                  <c:v>0.58823529411764708</c:v>
                </c:pt>
                <c:pt idx="19">
                  <c:v>0.52941176470588236</c:v>
                </c:pt>
                <c:pt idx="20">
                  <c:v>0.47058823529411764</c:v>
                </c:pt>
                <c:pt idx="21">
                  <c:v>0.58823529411764708</c:v>
                </c:pt>
                <c:pt idx="22">
                  <c:v>0.52941176470588236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0.52941176470588236</c:v>
                </c:pt>
                <c:pt idx="26">
                  <c:v>0.55882352941176472</c:v>
                </c:pt>
                <c:pt idx="27">
                  <c:v>0.58823529411764708</c:v>
                </c:pt>
                <c:pt idx="28">
                  <c:v>0.41176470588235292</c:v>
                </c:pt>
                <c:pt idx="29">
                  <c:v>0.76470588235294112</c:v>
                </c:pt>
                <c:pt idx="30">
                  <c:v>0.70588235294117652</c:v>
                </c:pt>
                <c:pt idx="31">
                  <c:v>0.41176470588235292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BA-46F5-9857-9E5118DDB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28088"/>
        <c:axId val="654629368"/>
      </c:scatterChart>
      <c:valAx>
        <c:axId val="65462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Opponent Net Yard Per Pass</a:t>
                </a:r>
                <a:r>
                  <a:rPr lang="en-US" baseline="0"/>
                  <a:t> Attempt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9368"/>
        <c:crosses val="autoZero"/>
        <c:crossBetween val="midCat"/>
      </c:valAx>
      <c:valAx>
        <c:axId val="654629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Winning Percentage</a:t>
                </a:r>
              </a:p>
            </c:rich>
          </c:tx>
          <c:layout>
            <c:manualLayout>
              <c:xMode val="edge"/>
              <c:yMode val="edge"/>
              <c:x val="0.9555555555555556"/>
              <c:y val="0.27163568095654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15239</xdr:rowOff>
    </xdr:from>
    <xdr:to>
      <xdr:col>7</xdr:col>
      <xdr:colOff>365711</xdr:colOff>
      <xdr:row>16</xdr:row>
      <xdr:rowOff>7122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0D790-6B12-4033-B44C-FAFAAAA3F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10439</xdr:colOff>
      <xdr:row>0</xdr:row>
      <xdr:rowOff>0</xdr:rowOff>
    </xdr:from>
    <xdr:to>
      <xdr:col>17</xdr:col>
      <xdr:colOff>177568</xdr:colOff>
      <xdr:row>16</xdr:row>
      <xdr:rowOff>7122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A5978B-B5BF-4FBD-8C49-29A7FD4D0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601579</xdr:colOff>
      <xdr:row>33</xdr:row>
      <xdr:rowOff>176463</xdr:rowOff>
    </xdr:from>
    <xdr:to>
      <xdr:col>17</xdr:col>
      <xdr:colOff>165553</xdr:colOff>
      <xdr:row>48</xdr:row>
      <xdr:rowOff>150396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1BD7BE-4E65-471F-B310-4F66AE441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170558</xdr:rowOff>
    </xdr:from>
    <xdr:to>
      <xdr:col>7</xdr:col>
      <xdr:colOff>391579</xdr:colOff>
      <xdr:row>49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CAECFC-4337-4FAB-AD3D-15034E3F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</xdr:row>
      <xdr:rowOff>6534</xdr:rowOff>
    </xdr:from>
    <xdr:to>
      <xdr:col>7</xdr:col>
      <xdr:colOff>390268</xdr:colOff>
      <xdr:row>32</xdr:row>
      <xdr:rowOff>49851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9DB28A-4778-40C6-BA0F-68287753C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605327</xdr:colOff>
      <xdr:row>17</xdr:row>
      <xdr:rowOff>4684</xdr:rowOff>
    </xdr:from>
    <xdr:to>
      <xdr:col>17</xdr:col>
      <xdr:colOff>180474</xdr:colOff>
      <xdr:row>32</xdr:row>
      <xdr:rowOff>50131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C1533F-6F05-45D5-A00D-4689BA7C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290763</xdr:colOff>
      <xdr:row>65</xdr:row>
      <xdr:rowOff>36095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4BEE7D-364F-4CC8-935F-1C5A166FD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50</xdr:row>
      <xdr:rowOff>0</xdr:rowOff>
    </xdr:from>
    <xdr:to>
      <xdr:col>17</xdr:col>
      <xdr:colOff>190500</xdr:colOff>
      <xdr:row>65</xdr:row>
      <xdr:rowOff>36095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F8326C-4F34-41C3-9CC1-6FB5F7799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7</xdr:col>
      <xdr:colOff>290763</xdr:colOff>
      <xdr:row>81</xdr:row>
      <xdr:rowOff>36095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940DE2-B8E3-44C8-AF83-72EE67E36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10027</xdr:colOff>
      <xdr:row>117</xdr:row>
      <xdr:rowOff>1</xdr:rowOff>
    </xdr:from>
    <xdr:to>
      <xdr:col>16</xdr:col>
      <xdr:colOff>300790</xdr:colOff>
      <xdr:row>132</xdr:row>
      <xdr:rowOff>36096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52D0BF-BFD5-40E0-BBD8-8F3E547B8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116</xdr:row>
      <xdr:rowOff>150395</xdr:rowOff>
    </xdr:from>
    <xdr:to>
      <xdr:col>7</xdr:col>
      <xdr:colOff>290763</xdr:colOff>
      <xdr:row>132</xdr:row>
      <xdr:rowOff>6016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F64FA4-EC2D-4ABA-8F0A-C116964BD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</xdr:colOff>
      <xdr:row>98</xdr:row>
      <xdr:rowOff>170448</xdr:rowOff>
    </xdr:from>
    <xdr:to>
      <xdr:col>16</xdr:col>
      <xdr:colOff>290764</xdr:colOff>
      <xdr:row>114</xdr:row>
      <xdr:rowOff>26069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0BDE15-096D-4FAA-B56D-55291C990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99</xdr:row>
      <xdr:rowOff>10026</xdr:rowOff>
    </xdr:from>
    <xdr:to>
      <xdr:col>7</xdr:col>
      <xdr:colOff>290763</xdr:colOff>
      <xdr:row>114</xdr:row>
      <xdr:rowOff>46121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17C384E-5C6A-4E0B-B5EE-0E188E5AB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82</xdr:row>
      <xdr:rowOff>110290</xdr:rowOff>
    </xdr:from>
    <xdr:to>
      <xdr:col>7</xdr:col>
      <xdr:colOff>290763</xdr:colOff>
      <xdr:row>97</xdr:row>
      <xdr:rowOff>146385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FEBBB1D-F0CE-49DE-8C08-F89137F42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</xdr:colOff>
      <xdr:row>82</xdr:row>
      <xdr:rowOff>100263</xdr:rowOff>
    </xdr:from>
    <xdr:to>
      <xdr:col>16</xdr:col>
      <xdr:colOff>290764</xdr:colOff>
      <xdr:row>97</xdr:row>
      <xdr:rowOff>136358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CBF64CB-B2B9-4489-90C9-BE9D64705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134</xdr:row>
      <xdr:rowOff>0</xdr:rowOff>
    </xdr:from>
    <xdr:to>
      <xdr:col>7</xdr:col>
      <xdr:colOff>290763</xdr:colOff>
      <xdr:row>149</xdr:row>
      <xdr:rowOff>36095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95E7AF5-F426-4CFA-8108-5A1BDEA39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134</xdr:row>
      <xdr:rowOff>0</xdr:rowOff>
    </xdr:from>
    <xdr:to>
      <xdr:col>16</xdr:col>
      <xdr:colOff>290763</xdr:colOff>
      <xdr:row>149</xdr:row>
      <xdr:rowOff>36095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B5BE39F-737B-4A13-8016-53D5DB53D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7</xdr:col>
      <xdr:colOff>290763</xdr:colOff>
      <xdr:row>166</xdr:row>
      <xdr:rowOff>36094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DA69CFF-CAF8-4493-83F4-4D46B6F76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74919</xdr:colOff>
      <xdr:row>9</xdr:row>
      <xdr:rowOff>117367</xdr:rowOff>
    </xdr:from>
    <xdr:to>
      <xdr:col>9</xdr:col>
      <xdr:colOff>150816</xdr:colOff>
      <xdr:row>29</xdr:row>
      <xdr:rowOff>4319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24FC0A-3078-2EDC-05EB-A9699FCC7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0.60395</cdr:x>
      <cdr:y>0.14896</cdr:y>
    </cdr:from>
    <cdr:to>
      <cdr:x>0.60395</cdr:x>
      <cdr:y>0.89932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2120C5C-0016-CA26-C723-8EB2CA0002B6}"/>
            </a:ext>
          </a:extLst>
        </cdr:cNvPr>
        <cdr:cNvCxnSpPr/>
      </cdr:nvCxnSpPr>
      <cdr:spPr>
        <a:xfrm xmlns:a="http://schemas.openxmlformats.org/drawingml/2006/main" flipV="1">
          <a:off x="3292336" y="507604"/>
          <a:ext cx="0" cy="2557041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tx2">
              <a:lumMod val="20000"/>
              <a:lumOff val="8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0.66383</cdr:x>
      <cdr:y>0.14862</cdr:y>
    </cdr:from>
    <cdr:to>
      <cdr:x>0.66383</cdr:x>
      <cdr:y>0.90144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BEDCDEB0-26FA-8A38-9C50-38408BD5D786}"/>
            </a:ext>
          </a:extLst>
        </cdr:cNvPr>
        <cdr:cNvCxnSpPr/>
      </cdr:nvCxnSpPr>
      <cdr:spPr>
        <a:xfrm xmlns:a="http://schemas.openxmlformats.org/drawingml/2006/main" flipV="1">
          <a:off x="3616527" y="526796"/>
          <a:ext cx="0" cy="2668408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rgbClr val="B78428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0.54992</cdr:x>
      <cdr:y>0.07823</cdr:y>
    </cdr:from>
    <cdr:to>
      <cdr:x>0.66079</cdr:x>
      <cdr:y>0.14681</cdr:y>
    </cdr:to>
    <cdr:sp macro="" textlink="">
      <cdr:nvSpPr>
        <cdr:cNvPr id="26" name="TextBox 25">
          <a:extLst xmlns:a="http://schemas.openxmlformats.org/drawingml/2006/main">
            <a:ext uri="{FF2B5EF4-FFF2-40B4-BE49-F238E27FC236}">
              <a16:creationId xmlns:a16="http://schemas.microsoft.com/office/drawing/2014/main" id="{EFBD4448-525B-A7D9-D076-A70AAB842AA4}"/>
            </a:ext>
          </a:extLst>
        </cdr:cNvPr>
        <cdr:cNvSpPr txBox="1"/>
      </cdr:nvSpPr>
      <cdr:spPr>
        <a:xfrm xmlns:a="http://schemas.openxmlformats.org/drawingml/2006/main">
          <a:off x="3002900" y="267953"/>
          <a:ext cx="605426" cy="2348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/>
            <a:t>Average</a:t>
          </a:r>
        </a:p>
      </cdr:txBody>
    </cdr:sp>
  </cdr:relSizeAnchor>
  <cdr:relSizeAnchor xmlns:cdr="http://schemas.openxmlformats.org/drawingml/2006/chartDrawing">
    <cdr:from>
      <cdr:x>0.6272</cdr:x>
      <cdr:y>0.07823</cdr:y>
    </cdr:from>
    <cdr:to>
      <cdr:x>0.71991</cdr:x>
      <cdr:y>0.13766</cdr:y>
    </cdr:to>
    <cdr:sp macro="" textlink="">
      <cdr:nvSpPr>
        <cdr:cNvPr id="27" name="TextBox 26">
          <a:extLst xmlns:a="http://schemas.openxmlformats.org/drawingml/2006/main">
            <a:ext uri="{FF2B5EF4-FFF2-40B4-BE49-F238E27FC236}">
              <a16:creationId xmlns:a16="http://schemas.microsoft.com/office/drawing/2014/main" id="{3FD09186-9503-9A52-EC54-D711982D8AD4}"/>
            </a:ext>
          </a:extLst>
        </cdr:cNvPr>
        <cdr:cNvSpPr txBox="1"/>
      </cdr:nvSpPr>
      <cdr:spPr>
        <a:xfrm xmlns:a="http://schemas.openxmlformats.org/drawingml/2006/main">
          <a:off x="3416976" y="277303"/>
          <a:ext cx="505092" cy="210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 b="1"/>
            <a:t>Goal</a:t>
          </a:r>
        </a:p>
      </cdr:txBody>
    </cdr:sp>
  </cdr:relSizeAnchor>
  <cdr:relSizeAnchor xmlns:cdr="http://schemas.openxmlformats.org/drawingml/2006/chartDrawing">
    <cdr:from>
      <cdr:x>0.74159</cdr:x>
      <cdr:y>0.1228</cdr:y>
    </cdr:from>
    <cdr:to>
      <cdr:x>0.97511</cdr:x>
      <cdr:y>0.54518</cdr:y>
    </cdr:to>
    <cdr:sp macro="" textlink="">
      <cdr:nvSpPr>
        <cdr:cNvPr id="28" name="TextBox 27">
          <a:extLst xmlns:a="http://schemas.openxmlformats.org/drawingml/2006/main">
            <a:ext uri="{FF2B5EF4-FFF2-40B4-BE49-F238E27FC236}">
              <a16:creationId xmlns:a16="http://schemas.microsoft.com/office/drawing/2014/main" id="{B6F6F4A3-D3EA-67C9-24C6-BE3166A4EB3C}"/>
            </a:ext>
          </a:extLst>
        </cdr:cNvPr>
        <cdr:cNvSpPr txBox="1"/>
      </cdr:nvSpPr>
      <cdr:spPr>
        <a:xfrm xmlns:a="http://schemas.openxmlformats.org/drawingml/2006/main">
          <a:off x="4040182" y="435266"/>
          <a:ext cx="1272239" cy="1497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>
          <a:noAutofit/>
        </a:bodyPr>
        <a:lstStyle xmlns:a="http://schemas.openxmlformats.org/drawingml/2006/main"/>
        <a:p xmlns:a="http://schemas.openxmlformats.org/drawingml/2006/main">
          <a:r>
            <a:rPr lang="en-US" sz="900"/>
            <a:t>Between 2014 and 2021</a:t>
          </a:r>
          <a:r>
            <a:rPr lang="en-US" sz="900" b="1">
              <a:solidFill>
                <a:schemeClr val="tx2">
                  <a:lumMod val="50000"/>
                </a:schemeClr>
              </a:solidFill>
            </a:rPr>
            <a:t>, the average </a:t>
          </a:r>
          <a:r>
            <a:rPr lang="en-US" sz="900" b="0">
              <a:solidFill>
                <a:sysClr val="windowText" lastClr="000000"/>
              </a:solidFill>
            </a:rPr>
            <a:t>statistic</a:t>
          </a:r>
          <a:r>
            <a:rPr lang="en-US" sz="900"/>
            <a:t> for Super Bowl teams was </a:t>
          </a:r>
          <a:r>
            <a:rPr lang="en-US" sz="900" b="1">
              <a:solidFill>
                <a:schemeClr val="tx2">
                  <a:lumMod val="50000"/>
                </a:schemeClr>
              </a:solidFill>
            </a:rPr>
            <a:t>6.08</a:t>
          </a:r>
          <a:r>
            <a:rPr lang="en-US" sz="900" b="1" baseline="0">
              <a:solidFill>
                <a:schemeClr val="tx2">
                  <a:lumMod val="50000"/>
                </a:schemeClr>
              </a:solidFill>
            </a:rPr>
            <a:t> points per 100 yards</a:t>
          </a:r>
          <a:r>
            <a:rPr lang="en-US" sz="900" baseline="0"/>
            <a:t>. </a:t>
          </a:r>
        </a:p>
        <a:p xmlns:a="http://schemas.openxmlformats.org/drawingml/2006/main">
          <a:endParaRPr lang="en-US" sz="900" baseline="0"/>
        </a:p>
        <a:p xmlns:a="http://schemas.openxmlformats.org/drawingml/2006/main">
          <a:r>
            <a:rPr lang="en-US" sz="900" baseline="0"/>
            <a:t>The super bowl team who gave up the </a:t>
          </a:r>
          <a:r>
            <a:rPr lang="en-US" sz="900" b="1" baseline="0"/>
            <a:t>most points</a:t>
          </a:r>
          <a:r>
            <a:rPr lang="en-US" sz="900" baseline="0"/>
            <a:t> were the </a:t>
          </a:r>
        </a:p>
        <a:p xmlns:a="http://schemas.openxmlformats.org/drawingml/2006/main">
          <a:r>
            <a:rPr lang="en-US" sz="900" b="1" baseline="0">
              <a:solidFill>
                <a:schemeClr val="tx2">
                  <a:lumMod val="50000"/>
                </a:schemeClr>
              </a:solidFill>
            </a:rPr>
            <a:t>2019 49ers at 6.88.</a:t>
          </a:r>
          <a:endParaRPr lang="en-US" sz="900" b="1">
            <a:solidFill>
              <a:schemeClr val="tx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0.73874</cdr:x>
      <cdr:y>0.57957</cdr:y>
    </cdr:from>
    <cdr:to>
      <cdr:x>0.97651</cdr:x>
      <cdr:y>0.94719</cdr:y>
    </cdr:to>
    <cdr:sp macro="" textlink="">
      <cdr:nvSpPr>
        <cdr:cNvPr id="29" name="TextBox 28">
          <a:extLst xmlns:a="http://schemas.openxmlformats.org/drawingml/2006/main">
            <a:ext uri="{FF2B5EF4-FFF2-40B4-BE49-F238E27FC236}">
              <a16:creationId xmlns:a16="http://schemas.microsoft.com/office/drawing/2014/main" id="{CB88FEA6-2A6D-AB42-57D6-983FAD3362FA}"/>
            </a:ext>
          </a:extLst>
        </cdr:cNvPr>
        <cdr:cNvSpPr txBox="1"/>
      </cdr:nvSpPr>
      <cdr:spPr>
        <a:xfrm xmlns:a="http://schemas.openxmlformats.org/drawingml/2006/main">
          <a:off x="4024641" y="2054333"/>
          <a:ext cx="1295400" cy="1303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Using the 2019 49ers</a:t>
          </a:r>
          <a:r>
            <a:rPr lang="en-US" sz="900" baseline="0"/>
            <a:t> points as our goal, </a:t>
          </a:r>
          <a:r>
            <a:rPr lang="en-US" sz="900" b="1" baseline="0">
              <a:solidFill>
                <a:schemeClr val="tx2">
                  <a:lumMod val="50000"/>
                </a:schemeClr>
              </a:solidFill>
            </a:rPr>
            <a:t>the Vikings defense played at a championship level every year </a:t>
          </a:r>
          <a:r>
            <a:rPr lang="en-US" sz="900" baseline="0"/>
            <a:t>except for 2020.</a:t>
          </a:r>
          <a:endParaRPr lang="en-US" sz="9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160020</xdr:rowOff>
    </xdr:from>
    <xdr:to>
      <xdr:col>17</xdr:col>
      <xdr:colOff>320040</xdr:colOff>
      <xdr:row>25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34D682-4430-0FDF-90E4-D84515918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0.46695</cdr:x>
      <cdr:y>0.2591</cdr:y>
    </cdr:from>
    <cdr:to>
      <cdr:x>0.46861</cdr:x>
      <cdr:y>0.90032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70C48E2-3B5F-A28C-6485-8B271100BDCA}"/>
            </a:ext>
          </a:extLst>
        </cdr:cNvPr>
        <cdr:cNvCxnSpPr/>
      </cdr:nvCxnSpPr>
      <cdr:spPr>
        <a:xfrm xmlns:a="http://schemas.openxmlformats.org/drawingml/2006/main" flipV="1">
          <a:off x="2821577" y="1125650"/>
          <a:ext cx="10071" cy="2785738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tx2">
              <a:lumMod val="75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0.10705</cdr:x>
      <cdr:y>0.164</cdr:y>
    </cdr:from>
    <cdr:to>
      <cdr:x>0.50712</cdr:x>
      <cdr:y>0.35428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3C0E7BB-D373-DA4E-5D8D-DC5A7ED6AB67}"/>
            </a:ext>
          </a:extLst>
        </cdr:cNvPr>
        <cdr:cNvSpPr txBox="1"/>
      </cdr:nvSpPr>
      <cdr:spPr>
        <a:xfrm xmlns:a="http://schemas.openxmlformats.org/drawingml/2006/main">
          <a:off x="646076" y="716088"/>
          <a:ext cx="2414427" cy="8307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 b="1">
              <a:solidFill>
                <a:schemeClr val="accent1">
                  <a:lumMod val="75000"/>
                </a:schemeClr>
              </a:solidFill>
            </a:rPr>
            <a:t>The Vikings'</a:t>
          </a:r>
          <a:r>
            <a:rPr lang="en-US" sz="900" b="1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sz="900" b="1">
              <a:solidFill>
                <a:schemeClr val="accent1">
                  <a:lumMod val="75000"/>
                </a:schemeClr>
              </a:solidFill>
            </a:rPr>
            <a:t>winning</a:t>
          </a:r>
          <a:r>
            <a:rPr lang="en-US" sz="900" b="1" baseline="0">
              <a:solidFill>
                <a:schemeClr val="accent1">
                  <a:lumMod val="75000"/>
                </a:schemeClr>
              </a:solidFill>
            </a:rPr>
            <a:t> percentage was 81 % in 2017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. </a:t>
          </a:r>
          <a:r>
            <a:rPr lang="en-US" sz="900" baseline="0"/>
            <a:t>The same as both teams who played in the Super Bowl. The Vikings were unable to duplicate the success since.</a:t>
          </a:r>
          <a:endParaRPr lang="en-US" sz="900"/>
        </a:p>
      </cdr:txBody>
    </cdr:sp>
  </cdr:relSizeAnchor>
  <cdr:relSizeAnchor xmlns:cdr="http://schemas.openxmlformats.org/drawingml/2006/chartDrawing">
    <cdr:from>
      <cdr:x>0.85985</cdr:x>
      <cdr:y>0.49913</cdr:y>
    </cdr:from>
    <cdr:to>
      <cdr:x>1</cdr:x>
      <cdr:y>0.61606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096D4AA7-41BF-2809-B75C-A97CF391A39B}"/>
            </a:ext>
          </a:extLst>
        </cdr:cNvPr>
        <cdr:cNvSpPr txBox="1"/>
      </cdr:nvSpPr>
      <cdr:spPr>
        <a:xfrm xmlns:a="http://schemas.openxmlformats.org/drawingml/2006/main">
          <a:off x="5631180" y="2179320"/>
          <a:ext cx="845820" cy="510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0.87626</cdr:x>
      <cdr:y>0.51309</cdr:y>
    </cdr:from>
    <cdr:to>
      <cdr:x>0.98359</cdr:x>
      <cdr:y>0.59686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5CBA75F9-12D6-79E3-017F-BDBD8911A9EE}"/>
            </a:ext>
          </a:extLst>
        </cdr:cNvPr>
        <cdr:cNvSpPr txBox="1"/>
      </cdr:nvSpPr>
      <cdr:spPr>
        <a:xfrm xmlns:a="http://schemas.openxmlformats.org/drawingml/2006/main">
          <a:off x="5288280" y="2240280"/>
          <a:ext cx="64770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accent1">
                  <a:lumMod val="75000"/>
                </a:schemeClr>
              </a:solidFill>
            </a:rPr>
            <a:t>Vikings</a:t>
          </a:r>
        </a:p>
      </cdr:txBody>
    </cdr:sp>
  </cdr:relSizeAnchor>
  <cdr:relSizeAnchor xmlns:cdr="http://schemas.openxmlformats.org/drawingml/2006/chartDrawing">
    <cdr:from>
      <cdr:x>0.87374</cdr:x>
      <cdr:y>0.4363</cdr:y>
    </cdr:from>
    <cdr:to>
      <cdr:x>1</cdr:x>
      <cdr:y>0.63351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8A794C36-D5D7-5F13-5A3B-B64BFCA9743E}"/>
            </a:ext>
          </a:extLst>
        </cdr:cNvPr>
        <cdr:cNvSpPr txBox="1"/>
      </cdr:nvSpPr>
      <cdr:spPr>
        <a:xfrm xmlns:a="http://schemas.openxmlformats.org/drawingml/2006/main">
          <a:off x="5273040" y="1905000"/>
          <a:ext cx="762000" cy="861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</a:rPr>
            <a:t>Super Bowl Runner-up</a:t>
          </a:r>
        </a:p>
      </cdr:txBody>
    </cdr:sp>
  </cdr:relSizeAnchor>
  <cdr:relSizeAnchor xmlns:cdr="http://schemas.openxmlformats.org/drawingml/2006/chartDrawing">
    <cdr:from>
      <cdr:x>0.87121</cdr:x>
      <cdr:y>0.34729</cdr:y>
    </cdr:from>
    <cdr:to>
      <cdr:x>1</cdr:x>
      <cdr:y>0.45201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3A99ECD2-3EAA-B6D6-FA16-97E007A1F3C9}"/>
            </a:ext>
          </a:extLst>
        </cdr:cNvPr>
        <cdr:cNvSpPr txBox="1"/>
      </cdr:nvSpPr>
      <cdr:spPr>
        <a:xfrm xmlns:a="http://schemas.openxmlformats.org/drawingml/2006/main">
          <a:off x="5257800" y="1516380"/>
          <a:ext cx="77724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</a:rPr>
            <a:t>Super Bowl Champ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14</xdr:row>
      <xdr:rowOff>76200</xdr:rowOff>
    </xdr:from>
    <xdr:to>
      <xdr:col>7</xdr:col>
      <xdr:colOff>480060</xdr:colOff>
      <xdr:row>42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F66DF3-FDD5-B08C-CA04-85F37264C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0.79813</cdr:x>
      <cdr:y>0.28102</cdr:y>
    </cdr:from>
    <cdr:to>
      <cdr:x>0.9948</cdr:x>
      <cdr:y>0.50374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4CDC2EB-E6CC-9620-BF53-E7E24885E455}"/>
            </a:ext>
          </a:extLst>
        </cdr:cNvPr>
        <cdr:cNvSpPr txBox="1"/>
      </cdr:nvSpPr>
      <cdr:spPr>
        <a:xfrm xmlns:a="http://schemas.openxmlformats.org/drawingml/2006/main">
          <a:off x="5844540" y="1432560"/>
          <a:ext cx="1440180" cy="1135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50" b="0" baseline="0">
              <a:solidFill>
                <a:schemeClr val="tx1"/>
              </a:solidFill>
            </a:rPr>
            <a:t>Of these teams, </a:t>
          </a:r>
          <a:r>
            <a:rPr lang="en-US" sz="950" b="1" baseline="0">
              <a:solidFill>
                <a:schemeClr val="accent2">
                  <a:lumMod val="50000"/>
                </a:schemeClr>
              </a:solidFill>
            </a:rPr>
            <a:t>t</a:t>
          </a:r>
          <a:r>
            <a:rPr lang="en-US" sz="950" b="1">
              <a:solidFill>
                <a:schemeClr val="accent2">
                  <a:lumMod val="50000"/>
                </a:schemeClr>
              </a:solidFill>
            </a:rPr>
            <a:t>he 2020 Buccaneers </a:t>
          </a:r>
          <a:r>
            <a:rPr lang="en-US" sz="950"/>
            <a:t>had the lowest win</a:t>
          </a:r>
          <a:r>
            <a:rPr lang="en-US" sz="950" baseline="0"/>
            <a:t> % against over 0.500 </a:t>
          </a:r>
          <a:r>
            <a:rPr lang="en-US" sz="950" b="0" baseline="0">
              <a:solidFill>
                <a:sysClr val="windowText" lastClr="000000"/>
              </a:solidFill>
            </a:rPr>
            <a:t>teams, winning </a:t>
          </a:r>
          <a:r>
            <a:rPr lang="en-US" sz="950" b="1" baseline="0">
              <a:solidFill>
                <a:schemeClr val="accent2">
                  <a:lumMod val="50000"/>
                </a:schemeClr>
              </a:solidFill>
            </a:rPr>
            <a:t>50 % </a:t>
          </a:r>
          <a:r>
            <a:rPr lang="en-US" sz="950" b="0" baseline="0">
              <a:solidFill>
                <a:sysClr val="windowText" lastClr="000000"/>
              </a:solidFill>
            </a:rPr>
            <a:t>of these games. </a:t>
          </a:r>
          <a:r>
            <a:rPr lang="en-US" sz="950" b="1" baseline="0">
              <a:solidFill>
                <a:schemeClr val="accent2">
                  <a:lumMod val="50000"/>
                </a:schemeClr>
              </a:solidFill>
            </a:rPr>
            <a:t>This should therefore be our goal.</a:t>
          </a:r>
          <a:endParaRPr lang="en-US" sz="950" b="1">
            <a:solidFill>
              <a:schemeClr val="accent2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0.60042</cdr:x>
      <cdr:y>0.11211</cdr:y>
    </cdr:from>
    <cdr:to>
      <cdr:x>0.60042</cdr:x>
      <cdr:y>0.84604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99A9FAA-E286-195A-5AE2-AAA9E4C6CD78}"/>
            </a:ext>
          </a:extLst>
        </cdr:cNvPr>
        <cdr:cNvCxnSpPr/>
      </cdr:nvCxnSpPr>
      <cdr:spPr>
        <a:xfrm xmlns:a="http://schemas.openxmlformats.org/drawingml/2006/main" flipV="1">
          <a:off x="4396740" y="571500"/>
          <a:ext cx="0" cy="374142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2">
              <a:lumMod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0.79917</cdr:x>
      <cdr:y>0.1136</cdr:y>
    </cdr:from>
    <cdr:to>
      <cdr:x>0.97607</cdr:x>
      <cdr:y>0.33632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D041AF8-055E-82C6-70BC-0EFB9818996F}"/>
            </a:ext>
          </a:extLst>
        </cdr:cNvPr>
        <cdr:cNvSpPr txBox="1"/>
      </cdr:nvSpPr>
      <cdr:spPr>
        <a:xfrm xmlns:a="http://schemas.openxmlformats.org/drawingml/2006/main">
          <a:off x="5852160" y="579120"/>
          <a:ext cx="1295400" cy="1135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0.16233</cdr:x>
      <cdr:y>0.79073</cdr:y>
    </cdr:from>
    <cdr:to>
      <cdr:x>0.22164</cdr:x>
      <cdr:y>0.82511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FB4901D-A271-EB88-0FAD-2A9329FF22BA}"/>
            </a:ext>
          </a:extLst>
        </cdr:cNvPr>
        <cdr:cNvSpPr txBox="1"/>
      </cdr:nvSpPr>
      <cdr:spPr>
        <a:xfrm xmlns:a="http://schemas.openxmlformats.org/drawingml/2006/main">
          <a:off x="1188720" y="4030980"/>
          <a:ext cx="434340" cy="175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solidFill>
                <a:schemeClr val="tx2">
                  <a:lumMod val="60000"/>
                  <a:lumOff val="40000"/>
                </a:schemeClr>
              </a:solidFill>
            </a:rPr>
            <a:t>0 %</a:t>
          </a:r>
        </a:p>
      </cdr:txBody>
    </cdr:sp>
  </cdr:relSizeAnchor>
  <cdr:relSizeAnchor xmlns:cdr="http://schemas.openxmlformats.org/drawingml/2006/chartDrawing">
    <cdr:from>
      <cdr:x>0.80021</cdr:x>
      <cdr:y>0.10762</cdr:y>
    </cdr:from>
    <cdr:to>
      <cdr:x>0.99584</cdr:x>
      <cdr:y>0.32735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89F7A899-FF84-22D5-1946-FC809C51918B}"/>
            </a:ext>
          </a:extLst>
        </cdr:cNvPr>
        <cdr:cNvSpPr txBox="1"/>
      </cdr:nvSpPr>
      <cdr:spPr>
        <a:xfrm xmlns:a="http://schemas.openxmlformats.org/drawingml/2006/main">
          <a:off x="5859780" y="548640"/>
          <a:ext cx="1432560" cy="1120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50"/>
            <a:t>Teams</a:t>
          </a:r>
          <a:r>
            <a:rPr lang="en-US" sz="950" baseline="0"/>
            <a:t> who played in the Super Bowl since 2014 </a:t>
          </a:r>
          <a:r>
            <a:rPr lang="en-US" sz="950" b="1" baseline="0">
              <a:solidFill>
                <a:schemeClr val="accent2">
                  <a:lumMod val="50000"/>
                </a:schemeClr>
              </a:solidFill>
            </a:rPr>
            <a:t>win over 70 % of games against 0.500 teams </a:t>
          </a:r>
          <a:r>
            <a:rPr lang="en-US" sz="950" baseline="0"/>
            <a:t>on average.</a:t>
          </a:r>
          <a:endParaRPr lang="en-US" sz="950" b="1">
            <a:solidFill>
              <a:schemeClr val="accent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0.80333</cdr:x>
      <cdr:y>0.62481</cdr:y>
    </cdr:from>
    <cdr:to>
      <cdr:x>0.98751</cdr:x>
      <cdr:y>0.83707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59223048-D2AE-B765-53CE-E238CBEBB60B}"/>
            </a:ext>
          </a:extLst>
        </cdr:cNvPr>
        <cdr:cNvSpPr txBox="1"/>
      </cdr:nvSpPr>
      <cdr:spPr>
        <a:xfrm xmlns:a="http://schemas.openxmlformats.org/drawingml/2006/main">
          <a:off x="5882640" y="3185160"/>
          <a:ext cx="1348740" cy="1082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0.79501</cdr:x>
      <cdr:y>0.54111</cdr:y>
    </cdr:from>
    <cdr:to>
      <cdr:x>0.99063</cdr:x>
      <cdr:y>0.73692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70B39E5B-4B64-E9FB-AE2B-638CDA407B84}"/>
            </a:ext>
          </a:extLst>
        </cdr:cNvPr>
        <cdr:cNvSpPr txBox="1"/>
      </cdr:nvSpPr>
      <cdr:spPr>
        <a:xfrm xmlns:a="http://schemas.openxmlformats.org/drawingml/2006/main">
          <a:off x="5821680" y="2758440"/>
          <a:ext cx="1432560" cy="998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50"/>
            <a:t>The Vikings met</a:t>
          </a:r>
          <a:r>
            <a:rPr lang="en-US" sz="950" baseline="0"/>
            <a:t> this goal in 2017,</a:t>
          </a:r>
          <a:r>
            <a:rPr lang="en-US" sz="950" baseline="0">
              <a:solidFill>
                <a:schemeClr val="accent1">
                  <a:lumMod val="50000"/>
                </a:schemeClr>
              </a:solidFill>
            </a:rPr>
            <a:t> </a:t>
          </a:r>
          <a:r>
            <a:rPr lang="en-US" sz="950" b="1" baseline="0">
              <a:solidFill>
                <a:schemeClr val="accent1">
                  <a:lumMod val="50000"/>
                </a:schemeClr>
              </a:solidFill>
            </a:rPr>
            <a:t>winning 60 % of these games</a:t>
          </a:r>
          <a:r>
            <a:rPr lang="en-US" sz="950" b="1" baseline="0">
              <a:solidFill>
                <a:schemeClr val="accent1">
                  <a:lumMod val="75000"/>
                </a:schemeClr>
              </a:solidFill>
            </a:rPr>
            <a:t>. </a:t>
          </a:r>
          <a:r>
            <a:rPr lang="en-US" sz="950" baseline="0"/>
            <a:t>Other than that year, </a:t>
          </a:r>
          <a:r>
            <a:rPr lang="en-US" sz="950" b="1" baseline="0">
              <a:solidFill>
                <a:schemeClr val="accent1">
                  <a:lumMod val="50000"/>
                </a:schemeClr>
              </a:solidFill>
            </a:rPr>
            <a:t>they have fell short by nearly half of our goal on average.</a:t>
          </a:r>
          <a:endParaRPr lang="en-US" sz="95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935191</xdr:colOff>
      <xdr:row>34</xdr:row>
      <xdr:rowOff>168911</xdr:rowOff>
    </xdr:from>
    <xdr:to>
      <xdr:col>9</xdr:col>
      <xdr:colOff>509367</xdr:colOff>
      <xdr:row>54</xdr:row>
      <xdr:rowOff>42448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B8B551-A397-7671-4A31-7760A46D2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338667</xdr:colOff>
      <xdr:row>10</xdr:row>
      <xdr:rowOff>142394</xdr:rowOff>
    </xdr:from>
    <xdr:to>
      <xdr:col>15</xdr:col>
      <xdr:colOff>148018</xdr:colOff>
      <xdr:row>34</xdr:row>
      <xdr:rowOff>41445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925CA7-154E-A1F2-C1C6-F8BD90AD4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1111450</xdr:colOff>
      <xdr:row>6</xdr:row>
      <xdr:rowOff>33607</xdr:rowOff>
    </xdr:from>
    <xdr:to>
      <xdr:col>8</xdr:col>
      <xdr:colOff>258831</xdr:colOff>
      <xdr:row>34</xdr:row>
      <xdr:rowOff>60916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EC185B-373D-4C74-946B-CB4327328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936433</xdr:colOff>
      <xdr:row>18</xdr:row>
      <xdr:rowOff>0</xdr:rowOff>
    </xdr:from>
    <xdr:to>
      <xdr:col>15</xdr:col>
      <xdr:colOff>110168</xdr:colOff>
      <xdr:row>20</xdr:row>
      <xdr:rowOff>45903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808ECA5-303D-B5DC-2E3E-37603CD4E7E3}"/>
            </a:ext>
          </a:extLst>
        </xdr:cNvPr>
        <xdr:cNvSpPr txBox="1"/>
      </xdr:nvSpPr>
      <xdr:spPr>
        <a:xfrm>
          <a:off x="15386891" y="3305060"/>
          <a:ext cx="1064964" cy="4131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2"/>
              </a:solidFill>
            </a:rPr>
            <a:t>Vikings</a:t>
          </a:r>
        </a:p>
      </xdr:txBody>
    </xdr:sp>
    <xdr:clientData/>
  </xdr:twoCellAnchor>
  <xdr:twoCellAnchor>
    <xdr:from>
      <xdr:col>13</xdr:col>
      <xdr:colOff>945615</xdr:colOff>
      <xdr:row>15</xdr:row>
      <xdr:rowOff>165253</xdr:rowOff>
    </xdr:from>
    <xdr:to>
      <xdr:col>14</xdr:col>
      <xdr:colOff>550844</xdr:colOff>
      <xdr:row>18</xdr:row>
      <xdr:rowOff>82627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1386E33-05AF-1578-7EA5-312116F489B0}"/>
            </a:ext>
          </a:extLst>
        </xdr:cNvPr>
        <xdr:cNvSpPr txBox="1"/>
      </xdr:nvSpPr>
      <xdr:spPr>
        <a:xfrm>
          <a:off x="15396073" y="2919470"/>
          <a:ext cx="890530" cy="46821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Super Bowl Teams</a:t>
          </a: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0.78114</cdr:x>
      <cdr:y>0.24056</cdr:y>
    </cdr:from>
    <cdr:to>
      <cdr:x>0.78114</cdr:x>
      <cdr:y>0.8274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2A3774BE-B5CA-5E44-CA29-AFFEF75416F4}"/>
            </a:ext>
          </a:extLst>
        </cdr:cNvPr>
        <cdr:cNvCxnSpPr/>
      </cdr:nvCxnSpPr>
      <cdr:spPr>
        <a:xfrm xmlns:a="http://schemas.openxmlformats.org/drawingml/2006/main">
          <a:off x="4922520" y="849630"/>
          <a:ext cx="0" cy="207264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accent1">
              <a:lumMod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0.43147</cdr:x>
      <cdr:y>0.03388</cdr:y>
    </cdr:from>
    <cdr:to>
      <cdr:x>0.99858</cdr:x>
      <cdr:y>0.47185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8483A2BA-B49F-087A-784D-8D0B6F45829F}"/>
            </a:ext>
          </a:extLst>
        </cdr:cNvPr>
        <cdr:cNvSpPr txBox="1"/>
      </cdr:nvSpPr>
      <cdr:spPr>
        <a:xfrm xmlns:a="http://schemas.openxmlformats.org/drawingml/2006/main">
          <a:off x="2717249" y="117352"/>
          <a:ext cx="3571492" cy="1517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Between</a:t>
          </a:r>
          <a:r>
            <a:rPr lang="en-US" sz="900" baseline="0"/>
            <a:t> 2014 and 2017, The Vikings averaged 0.75 net yards per pass attempt less than Super Bowl contending teams.</a:t>
          </a:r>
        </a:p>
        <a:p xmlns:a="http://schemas.openxmlformats.org/drawingml/2006/main">
          <a:r>
            <a:rPr lang="en-US" sz="900" baseline="0"/>
            <a:t>To put another way, </a:t>
          </a:r>
          <a:r>
            <a:rPr lang="en-US" sz="900" b="1" baseline="0">
              <a:solidFill>
                <a:schemeClr val="accent1">
                  <a:lumMod val="50000"/>
                </a:schemeClr>
              </a:solidFill>
            </a:rPr>
            <a:t>The Vikings offense was 11 % less productive.</a:t>
          </a:r>
        </a:p>
        <a:p xmlns:a="http://schemas.openxmlformats.org/drawingml/2006/main">
          <a:r>
            <a:rPr lang="en-US" sz="900" b="1" baseline="0">
              <a:solidFill>
                <a:schemeClr val="accent1">
                  <a:lumMod val="50000"/>
                </a:schemeClr>
              </a:solidFill>
            </a:rPr>
            <a:t>The Vikings had a below average offense in the NFL 3 of these 4 years.</a:t>
          </a:r>
          <a:endParaRPr lang="en-US" sz="900" b="1">
            <a:solidFill>
              <a:schemeClr val="accent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</cdr:x>
      <cdr:y>0.69148</cdr:y>
    </cdr:from>
    <cdr:to>
      <cdr:x>0.13664</cdr:x>
      <cdr:y>0.85545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A0C87A3E-B3A1-FE6A-C2C5-1B4E4770072E}"/>
            </a:ext>
          </a:extLst>
        </cdr:cNvPr>
        <cdr:cNvSpPr txBox="1"/>
      </cdr:nvSpPr>
      <cdr:spPr>
        <a:xfrm xmlns:a="http://schemas.openxmlformats.org/drawingml/2006/main">
          <a:off x="0" y="2442210"/>
          <a:ext cx="861060" cy="579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solidFill>
                <a:schemeClr val="accent1">
                  <a:lumMod val="50000"/>
                </a:schemeClr>
              </a:solidFill>
            </a:rPr>
            <a:t>(Winner and runner up)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0.49929</cdr:x>
      <cdr:y>0.14742</cdr:y>
    </cdr:from>
    <cdr:to>
      <cdr:x>0.49929</cdr:x>
      <cdr:y>0.85362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6B26D1D-E47B-A93B-F71C-AD22C4C27762}"/>
            </a:ext>
          </a:extLst>
        </cdr:cNvPr>
        <cdr:cNvCxnSpPr/>
      </cdr:nvCxnSpPr>
      <cdr:spPr>
        <a:xfrm xmlns:a="http://schemas.openxmlformats.org/drawingml/2006/main" flipV="1">
          <a:off x="2693939" y="638849"/>
          <a:ext cx="0" cy="3060234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accent1">
              <a:lumMod val="60000"/>
              <a:lumOff val="4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0.48502</cdr:x>
      <cdr:y>0.00888</cdr:y>
    </cdr:from>
    <cdr:to>
      <cdr:x>0.98003</cdr:x>
      <cdr:y>0.16696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52484586-A69A-FA98-A27B-6375BE4E3CA1}"/>
            </a:ext>
          </a:extLst>
        </cdr:cNvPr>
        <cdr:cNvSpPr txBox="1"/>
      </cdr:nvSpPr>
      <cdr:spPr>
        <a:xfrm xmlns:a="http://schemas.openxmlformats.org/drawingml/2006/main">
          <a:off x="2616970" y="38485"/>
          <a:ext cx="2670848" cy="6850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tx2"/>
              </a:solidFill>
            </a:rPr>
            <a:t>The</a:t>
          </a:r>
          <a:r>
            <a:rPr lang="en-US" sz="900" b="1" baseline="0">
              <a:solidFill>
                <a:schemeClr val="tx2"/>
              </a:solidFill>
            </a:rPr>
            <a:t> Vikings signed Kirk Cousins in 2018. There have been 2 down years </a:t>
          </a:r>
          <a:r>
            <a:rPr lang="en-US" sz="900" b="0" baseline="0">
              <a:solidFill>
                <a:schemeClr val="tx2"/>
              </a:solidFill>
            </a:rPr>
            <a:t>in offensive efficiency </a:t>
          </a:r>
          <a:r>
            <a:rPr lang="en-US" sz="900" baseline="0"/>
            <a:t>in 2018 and 2021 and </a:t>
          </a:r>
          <a:r>
            <a:rPr lang="en-US" sz="900" b="1" baseline="0">
              <a:solidFill>
                <a:schemeClr val="tx2"/>
              </a:solidFill>
            </a:rPr>
            <a:t>2 years near championship level </a:t>
          </a:r>
          <a:r>
            <a:rPr lang="en-US" sz="900" b="0" baseline="0">
              <a:solidFill>
                <a:schemeClr val="tx2"/>
              </a:solidFill>
            </a:rPr>
            <a:t>efficiency</a:t>
          </a:r>
          <a:r>
            <a:rPr lang="en-US" sz="900" baseline="0"/>
            <a:t> in 2019 and 2020.</a:t>
          </a:r>
          <a:endParaRPr lang="en-US" sz="9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0.10171</cdr:x>
      <cdr:y>0.21376</cdr:y>
    </cdr:from>
    <cdr:to>
      <cdr:x>0.74036</cdr:x>
      <cdr:y>0.21376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B8A7E05-588F-E161-426F-392BFA262623}"/>
            </a:ext>
          </a:extLst>
        </cdr:cNvPr>
        <cdr:cNvCxnSpPr/>
      </cdr:nvCxnSpPr>
      <cdr:spPr>
        <a:xfrm xmlns:a="http://schemas.openxmlformats.org/drawingml/2006/main">
          <a:off x="669610" y="1104802"/>
          <a:ext cx="4204771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1">
              <a:lumMod val="40000"/>
              <a:lumOff val="6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0.74734</cdr:x>
      <cdr:y>0.19066</cdr:y>
    </cdr:from>
    <cdr:to>
      <cdr:x>1</cdr:x>
      <cdr:y>0.44112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C4EFCA3-2365-EC80-E145-A4BA7531EFF9}"/>
            </a:ext>
          </a:extLst>
        </cdr:cNvPr>
        <cdr:cNvSpPr txBox="1"/>
      </cdr:nvSpPr>
      <cdr:spPr>
        <a:xfrm xmlns:a="http://schemas.openxmlformats.org/drawingml/2006/main">
          <a:off x="4920285" y="985453"/>
          <a:ext cx="1663481" cy="1294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Between 2018 and 2021, teams</a:t>
          </a:r>
          <a:r>
            <a:rPr lang="en-US" sz="1200" baseline="0"/>
            <a:t> who played in the Super Bowl </a:t>
          </a:r>
          <a:r>
            <a:rPr lang="en-US" sz="1200" b="1" baseline="0">
              <a:solidFill>
                <a:schemeClr val="tx2"/>
              </a:solidFill>
            </a:rPr>
            <a:t>averaged 7.325 NY/A and 58 % pass plays called.</a:t>
          </a:r>
          <a:endParaRPr lang="en-US" sz="1200" b="1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0.74455</cdr:x>
      <cdr:y>0.46421</cdr:y>
    </cdr:from>
    <cdr:to>
      <cdr:x>0.98997</cdr:x>
      <cdr:y>0.71289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C78609E-240B-6F10-0A55-FF7D1B63724F}"/>
            </a:ext>
          </a:extLst>
        </cdr:cNvPr>
        <cdr:cNvSpPr txBox="1"/>
      </cdr:nvSpPr>
      <cdr:spPr>
        <a:xfrm xmlns:a="http://schemas.openxmlformats.org/drawingml/2006/main">
          <a:off x="4901924" y="2399283"/>
          <a:ext cx="1615807" cy="12853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Generally, as pass plays called have increased, </a:t>
          </a:r>
          <a:r>
            <a:rPr lang="en-US" sz="1200" b="1">
              <a:solidFill>
                <a:schemeClr val="tx2"/>
              </a:solidFill>
            </a:rPr>
            <a:t>Kirk Cousins has been less efficient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513F99-B0DF-4B94-B855-D9C6E3699E45}" name="Table1" displayName="Table1" ref="A1:W33" totalsRowShown="0">
  <autoFilter ref="A1:W33" xr:uid="{A4513F99-B0DF-4B94-B855-D9C6E3699E45}"/>
  <sortState xmlns:xlrd2="http://schemas.microsoft.com/office/spreadsheetml/2017/richdata2" ref="A2:V33">
    <sortCondition ref="A1:A33"/>
  </sortState>
  <tableColumns count="23">
    <tableColumn id="1" xr3:uid="{7DBF783C-96FD-496D-9612-16336C1BC718}" name="Team Name"/>
    <tableColumn id="2" xr3:uid="{44F00353-5136-41BE-AD37-231B24EB5198}" name="Wins"/>
    <tableColumn id="3" xr3:uid="{FF55D10C-C5BD-41F3-A6D5-9C98620583EB}" name="Losses"/>
    <tableColumn id="4" xr3:uid="{FC5D9C09-BED9-4A86-8710-03E4BA3262C4}" name="Ties"/>
    <tableColumn id="5" xr3:uid="{02DE0253-042A-4D20-B509-BA1DA0639332}" name="Winning Percentage" dataDxfId="7" dataCellStyle="Percent">
      <calculatedColumnFormula xml:space="preserve"> (B2 + (D2/2)) / (B2 + C2 + D2)</calculatedColumnFormula>
    </tableColumn>
    <tableColumn id="6" xr3:uid="{F00049B8-8E24-4B88-ACCC-A12843F53F3A}" name="Yards per play"/>
    <tableColumn id="7" xr3:uid="{FF640A7A-3FC1-46BB-833E-71A39FB522FE}" name="Turnovers"/>
    <tableColumn id="8" xr3:uid="{E7C2CB42-E56D-4B77-A24A-8392CF896152}" name="Penalty Yards"/>
    <tableColumn id="9" xr3:uid="{8A7732D5-E23F-42BE-8A5E-DFD5FA15EA10}" name="Pressure Rate" dataDxfId="6" dataCellStyle="Percent"/>
    <tableColumn id="10" xr3:uid="{EB536F2B-C99F-4485-95B9-657E234E8828}" name="Opponent Yards per play"/>
    <tableColumn id="11" xr3:uid="{1B3B8F73-079F-4B57-9DAD-36A93F87F345}" name="Opponent Turnovers"/>
    <tableColumn id="15" xr3:uid="{DF306084-397D-4599-9622-7086DE5B9B18}" name="Net Yards per Pass Attempt"/>
    <tableColumn id="20" xr3:uid="{4967A54C-3467-44D0-94CF-59088E462B7D}" name="Yards per carry"/>
    <tableColumn id="21" xr3:uid="{BAA10136-40A9-4006-A993-DB7FD1CDC01D}" name="Opponent Net Yards Per Pass Attempt"/>
    <tableColumn id="12" xr3:uid="{A31E251A-1EF9-4E43-A37B-73A42880D3AC}" name="Points Scored"/>
    <tableColumn id="13" xr3:uid="{ED59D16A-90B6-4A86-9921-3D81ED7D5E0E}" name="Points given up"/>
    <tableColumn id="14" xr3:uid="{5388F456-4AC3-493F-8D8C-A38F7A3141D3}" name="Total yards"/>
    <tableColumn id="16" xr3:uid="{1A35B6DA-8A83-4200-B55A-579C345279BD}" name="Yards Given Up"/>
    <tableColumn id="17" xr3:uid="{7D7D1AED-3090-4487-A73E-21CC55271455}" name="Time of possession"/>
    <tableColumn id="18" xr3:uid="{1C0F032D-4DF1-4BB6-8724-F65AB2C5768F}" name="Defensive Points per 100 yards" dataDxfId="5"/>
    <tableColumn id="19" xr3:uid="{B03A3192-0337-47DB-9175-8BDD5D220DE3}" name="Pass Play Call Percentage" dataDxfId="4"/>
    <tableColumn id="23" xr3:uid="{7068B64F-80AA-4C7A-9EF1-848ED83771A4}" name="Success Rate" dataDxfId="3"/>
    <tableColumn id="24" xr3:uid="{30CD7D1E-0132-4C5E-8E7C-09FD45B286F5}" name="Explosive Play Rat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D74DF-082B-4D8C-A4A7-6E3883FEEF37}" name="Table3" displayName="Table3" ref="A1:J10" totalsRowCount="1">
  <autoFilter ref="A1:J9" xr:uid="{D27D74DF-082B-4D8C-A4A7-6E3883FEEF37}"/>
  <tableColumns count="10">
    <tableColumn id="1" xr3:uid="{01B61317-8B32-421E-B133-A535355026AE}" name="Year" totalsRowLabel="AVERAGE"/>
    <tableColumn id="2" xr3:uid="{A59BB075-CAA4-4D11-A161-070455E64274}" name="Vikings Wins" totalsRowFunction="custom">
      <totalsRowFormula>AVERAGE(Table3[Vikings Wins])</totalsRowFormula>
    </tableColumn>
    <tableColumn id="3" xr3:uid="{491B9D86-7729-4706-9790-ED0F7563F6E4}" name="Vikings Loss" totalsRowFunction="custom">
      <totalsRowFormula>AVERAGE(Table3[Vikings Loss])</totalsRowFormula>
    </tableColumn>
    <tableColumn id="4" xr3:uid="{6A37ABFF-ACE2-4CBB-AAA8-0C4326D7CF08}" name="Vikings over 0.500 Win %" totalsRowFunction="custom">
      <calculatedColumnFormula>B2 / (B2 +C2)</calculatedColumnFormula>
      <totalsRowFormula>SUM(Table3[Vikings Wins])/(SUM(Table3[Vikings Loss])+SUM(Table3[Vikings Wins]))</totalsRowFormula>
    </tableColumn>
    <tableColumn id="5" xr3:uid="{B37C3926-78E8-4542-8FC8-3C646ACC708D}" name="Super Bowl Winner Wins" totalsRowFunction="custom">
      <totalsRowFormula>AVERAGE(Table3[Super Bowl Winner Wins])</totalsRowFormula>
    </tableColumn>
    <tableColumn id="6" xr3:uid="{59404764-8551-4477-A2AE-277BC2F33DA1}" name="Super Bowl Winner Losses" totalsRowFunction="custom">
      <totalsRowFormula>AVERAGE(Table3[Super Bowl Winner Losses])</totalsRowFormula>
    </tableColumn>
    <tableColumn id="7" xr3:uid="{0EA71F5A-32F5-42B9-8123-B15AFD4C0CC5}" name="Super Bowl Winner Percentage" totalsRowFunction="custom">
      <calculatedColumnFormula>E2/(E2+F2)</calculatedColumnFormula>
      <totalsRowFormula>SUM(Table3[Super Bowl Winner Wins])/(SUM(Table3[Super Bowl Winner Losses])+SUM(Table3[Super Bowl Winner Wins]))</totalsRowFormula>
    </tableColumn>
    <tableColumn id="8" xr3:uid="{23DAF5E5-0EF0-45ED-9C3E-738B597ECC90}" name="Super Bowl Runner Up Wins" totalsRowFunction="custom">
      <totalsRowFormula>AVERAGE(Table3[Super Bowl Runner Up Wins])</totalsRowFormula>
    </tableColumn>
    <tableColumn id="9" xr3:uid="{330C24C0-2EB5-4A03-9D12-71B74282DD56}" name="Super Bowl Runner Up Losses" totalsRowFunction="custom">
      <totalsRowFormula>AVERAGE(Table3[Super Bowl Runner Up Losses])</totalsRowFormula>
    </tableColumn>
    <tableColumn id="10" xr3:uid="{F85CEBF2-F8AB-4BC6-BA04-0B2064E35238}" name="Super Bowl Runner Up Winning Percentage" totalsRowFunction="custom">
      <calculatedColumnFormula>H2/(H2+I2)</calculatedColumnFormula>
      <totalsRowFormula>SUM(Table3[Super Bowl Runner Up Wins])/(SUM(Table3[Super Bowl Runner Up Wins]) + SUM(Table3[Super Bowl Runner Up Losses]))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9D15FF-727E-435A-8D59-8901F83E5317}" name="Table5" displayName="Table5" ref="A18:B29" totalsRowShown="0">
  <autoFilter ref="A18:B29" xr:uid="{009D15FF-727E-435A-8D59-8901F83E5317}"/>
  <sortState xmlns:xlrd2="http://schemas.microsoft.com/office/spreadsheetml/2017/richdata2" ref="A19:B29">
    <sortCondition ref="B18:B29"/>
  </sortState>
  <tableColumns count="2">
    <tableColumn id="1" xr3:uid="{D4901D46-5968-4DF7-B8CC-FC46EEAE682F}" name="Column1"/>
    <tableColumn id="2" xr3:uid="{9A5F4C42-8F14-45DF-951B-5FF7B79534CA}" name="Column2" dataDxfId="1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6E2412-0F1E-492A-B6D6-B6BFDC4B881D}" name="Table2" displayName="Table2" ref="B1:L9" totalsRowShown="0">
  <autoFilter ref="B1:L9" xr:uid="{7E6E2412-0F1E-492A-B6D6-B6BFDC4B881D}"/>
  <tableColumns count="11">
    <tableColumn id="1" xr3:uid="{40A39527-0E33-4F69-AE0D-26F4511BC96F}" name="Year"/>
    <tableColumn id="2" xr3:uid="{E8CD7CE4-3F36-4031-9D6A-D5BBB1AF97A1}" name="Vikings Net Yards / Pass Attempt"/>
    <tableColumn id="5" xr3:uid="{45252E96-B77F-4099-B7F8-289DDD79FA04}" name="Super Bowl Winner NY/A"/>
    <tableColumn id="6" xr3:uid="{DCE76F0A-CAC5-4F1A-A17F-4787B86B5EB0}" name="Super Bowl Runner Up NY/A"/>
    <tableColumn id="11" xr3:uid="{7634D470-4F53-4733-93BE-81AE6E9B3E38}" name="Column1" dataDxfId="0">
      <calculatedColumnFormula>AVERAGE(Table2[[#This Row],[Super Bowl Winner NY/A]:[Super Bowl Runner Up NY/A]])</calculatedColumnFormula>
    </tableColumn>
    <tableColumn id="3" xr3:uid="{1FBBC1C4-4E22-42AF-96C2-DD21FC704CCC}" name="Pass %"/>
    <tableColumn id="9" xr3:uid="{C15BADAD-B5BF-4200-AB78-C68AB428E5BC}" name="Super Bowl Winner Pass %"/>
    <tableColumn id="10" xr3:uid="{46E8F288-F708-4732-BDD0-B30B95DDD3B0}" name="Super Bowl Runner Up Pass %"/>
    <tableColumn id="4" xr3:uid="{0F7268CA-56D0-4D90-9536-EB3A93E3B255}" name="Vikings yard per play"/>
    <tableColumn id="7" xr3:uid="{F1CCD178-7F9F-4036-B5FB-3E5434EF63AF}" name="Super Bowl Winner Y/P"/>
    <tableColumn id="8" xr3:uid="{DBBCB40B-6774-4E1B-9D71-DFA6FD03759F}" name="Super Bowl Runner up Y/p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4EE64A6-B921-4C50-8699-7BF789054F16}" name="Table7" displayName="Table7" ref="F13:H15" totalsRowShown="0">
  <autoFilter ref="F13:H15" xr:uid="{C4EE64A6-B921-4C50-8699-7BF789054F16}"/>
  <sortState xmlns:xlrd2="http://schemas.microsoft.com/office/spreadsheetml/2017/richdata2" ref="F14:H15">
    <sortCondition ref="F13:F15"/>
  </sortState>
  <tableColumns count="3">
    <tableColumn id="1" xr3:uid="{ABEEB4A9-258B-4A3B-A046-277A21336537}" name="Average"/>
    <tableColumn id="2" xr3:uid="{0047B3F3-1E46-4B4E-83BF-B74BFEFFEB0A}" name="Net Yard / Pass Attemp"/>
    <tableColumn id="3" xr3:uid="{31807553-88F9-43C7-A2BA-F8795FAB9268}" name="Differenc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198E845-E380-4AF5-A4F4-2842474D550B}" name="Table8" displayName="Table8" ref="B13:D15" totalsRowShown="0">
  <autoFilter ref="B13:D15" xr:uid="{F198E845-E380-4AF5-A4F4-2842474D550B}"/>
  <sortState xmlns:xlrd2="http://schemas.microsoft.com/office/spreadsheetml/2017/richdata2" ref="B14:D15">
    <sortCondition ref="B13:B15"/>
  </sortState>
  <tableColumns count="3">
    <tableColumn id="1" xr3:uid="{77BC5169-85C9-4997-8BDF-1D3FB32B4FD9}" name="Column1"/>
    <tableColumn id="2" xr3:uid="{02630D60-D9DF-4B41-868D-366ACBC3F9B4}" name="Column2">
      <calculatedColumnFormula>AVERAGE(D1:E4)</calculatedColumnFormula>
    </tableColumn>
    <tableColumn id="3" xr3:uid="{53A654E3-362E-4C5F-A4EC-004EFEB784EB}" name="Column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E9ABD7-3294-4724-B64F-F4F4A533F630}" name="Table4" displayName="Table4" ref="A1:D25" totalsRowShown="0">
  <autoFilter ref="A1:D25" xr:uid="{B4E9ABD7-3294-4724-B64F-F4F4A533F630}"/>
  <tableColumns count="4">
    <tableColumn id="1" xr3:uid="{4FF6289F-2F04-4B83-BED5-6516309D3B94}" name="Year"/>
    <tableColumn id="2" xr3:uid="{630C38CE-58DC-4554-B25F-D13F9D1AB577}" name="Yards Given Up"/>
    <tableColumn id="3" xr3:uid="{73552290-28D6-4D62-B80D-7630724EF80E}" name="Points Against"/>
    <tableColumn id="4" xr3:uid="{ECA479BD-109F-43D0-B8C8-7D4160DB6A52}" name="Points per 100 Yards Given Up">
      <calculatedColumnFormula>B2/(C2/100)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697F31-19B3-4260-B063-8288D98C4838}" name="Table6" displayName="Table6" ref="H2:I10" totalsRowShown="0">
  <autoFilter ref="H2:I10" xr:uid="{45697F31-19B3-4260-B063-8288D98C4838}"/>
  <sortState xmlns:xlrd2="http://schemas.microsoft.com/office/spreadsheetml/2017/richdata2" ref="H3:I10">
    <sortCondition descending="1" ref="H2:H10"/>
  </sortState>
  <tableColumns count="2">
    <tableColumn id="1" xr3:uid="{2D3F553B-64FA-400E-951C-BDA20DD59174}" name="Column1"/>
    <tableColumn id="4" xr3:uid="{D723A9A6-B352-45F5-9F54-4176B664B200}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D1805-8B8F-42B4-879E-5869D51A41AD}">
  <dimension ref="A1:W33"/>
  <sheetViews>
    <sheetView tabSelected="1" workbookViewId="0">
      <pane xSplit="1" topLeftCell="D1" activePane="topRight" state="frozen"/>
      <selection pane="topRight" activeCell="L1" sqref="L1:L33"/>
    </sheetView>
  </sheetViews>
  <sheetFormatPr defaultRowHeight="14.4" x14ac:dyDescent="0.3"/>
  <cols>
    <col min="1" max="1" width="13" customWidth="1"/>
    <col min="5" max="5" width="19.77734375" style="1" customWidth="1"/>
    <col min="6" max="6" width="14.6640625" customWidth="1"/>
    <col min="7" max="7" width="11.33203125" customWidth="1"/>
    <col min="8" max="8" width="14.21875" customWidth="1"/>
    <col min="9" max="9" width="14.21875" style="1" customWidth="1"/>
    <col min="10" max="10" width="23.6640625" customWidth="1"/>
    <col min="11" max="11" width="20.33203125" customWidth="1"/>
    <col min="21" max="21" width="8.88671875" style="6"/>
    <col min="22" max="23" width="8.88671875" style="7"/>
  </cols>
  <sheetData>
    <row r="1" spans="1:23" x14ac:dyDescent="0.3">
      <c r="A1" t="s">
        <v>0</v>
      </c>
      <c r="B1" t="s">
        <v>1</v>
      </c>
      <c r="C1" t="s">
        <v>2</v>
      </c>
      <c r="D1" t="s">
        <v>42</v>
      </c>
      <c r="E1" s="1" t="s">
        <v>3</v>
      </c>
      <c r="F1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9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s="6" t="s">
        <v>77</v>
      </c>
      <c r="V1" s="7" t="s">
        <v>80</v>
      </c>
      <c r="W1" s="7" t="s">
        <v>79</v>
      </c>
    </row>
    <row r="2" spans="1:23" x14ac:dyDescent="0.3">
      <c r="A2" t="s">
        <v>10</v>
      </c>
      <c r="B2">
        <v>11</v>
      </c>
      <c r="C2">
        <v>6</v>
      </c>
      <c r="D2">
        <v>0</v>
      </c>
      <c r="E2" s="1">
        <f t="shared" ref="E2:E33" si="0" xml:space="preserve"> (B2 + (D2/2)) / (B2 + C2 + D2)</f>
        <v>0.6470588235294118</v>
      </c>
      <c r="F2">
        <v>5.6</v>
      </c>
      <c r="G2">
        <v>15</v>
      </c>
      <c r="H2">
        <v>990</v>
      </c>
      <c r="I2" s="1">
        <v>0.25900000000000001</v>
      </c>
      <c r="J2">
        <v>5.4</v>
      </c>
      <c r="K2">
        <v>27</v>
      </c>
      <c r="L2">
        <v>6.8</v>
      </c>
      <c r="M2">
        <v>4.2</v>
      </c>
      <c r="N2">
        <v>6.1</v>
      </c>
      <c r="O2">
        <v>449</v>
      </c>
      <c r="P2">
        <v>366</v>
      </c>
      <c r="Q2">
        <v>6352</v>
      </c>
      <c r="R2">
        <v>5597</v>
      </c>
      <c r="S2">
        <v>531</v>
      </c>
      <c r="T2">
        <v>5.7619647355163721</v>
      </c>
      <c r="U2" s="6">
        <v>0.56440000000000001</v>
      </c>
      <c r="V2" s="7">
        <v>0.5</v>
      </c>
      <c r="W2" s="7">
        <v>0.1</v>
      </c>
    </row>
    <row r="3" spans="1:23" x14ac:dyDescent="0.3">
      <c r="A3" t="s">
        <v>11</v>
      </c>
      <c r="B3">
        <v>7</v>
      </c>
      <c r="C3">
        <v>10</v>
      </c>
      <c r="D3">
        <v>0</v>
      </c>
      <c r="E3" s="1">
        <f t="shared" si="0"/>
        <v>0.41176470588235292</v>
      </c>
      <c r="F3">
        <v>5.0999999999999996</v>
      </c>
      <c r="G3">
        <v>26</v>
      </c>
      <c r="H3">
        <v>753</v>
      </c>
      <c r="I3" s="1">
        <v>0.16699999999999998</v>
      </c>
      <c r="J3">
        <v>5.6</v>
      </c>
      <c r="K3">
        <v>20</v>
      </c>
      <c r="L3">
        <v>6.1</v>
      </c>
      <c r="M3">
        <v>3.7</v>
      </c>
      <c r="N3">
        <v>6.6</v>
      </c>
      <c r="O3">
        <v>313</v>
      </c>
      <c r="P3">
        <v>459</v>
      </c>
      <c r="Q3">
        <v>5164</v>
      </c>
      <c r="R3">
        <v>6194</v>
      </c>
      <c r="S3">
        <v>478</v>
      </c>
      <c r="T3">
        <v>8.8884585592563905</v>
      </c>
      <c r="U3" s="6">
        <v>0.60929999999999995</v>
      </c>
      <c r="V3" s="7">
        <v>0.44</v>
      </c>
      <c r="W3" s="7">
        <v>0.09</v>
      </c>
    </row>
    <row r="4" spans="1:23" x14ac:dyDescent="0.3">
      <c r="A4" t="s">
        <v>12</v>
      </c>
      <c r="B4">
        <v>8</v>
      </c>
      <c r="C4">
        <v>9</v>
      </c>
      <c r="D4">
        <v>0</v>
      </c>
      <c r="E4" s="1">
        <f t="shared" si="0"/>
        <v>0.47058823529411764</v>
      </c>
      <c r="F4">
        <v>5.4</v>
      </c>
      <c r="G4">
        <v>26</v>
      </c>
      <c r="H4">
        <v>852</v>
      </c>
      <c r="I4" s="1">
        <v>0.23</v>
      </c>
      <c r="J4">
        <v>6</v>
      </c>
      <c r="K4">
        <v>15</v>
      </c>
      <c r="L4">
        <v>5.9</v>
      </c>
      <c r="M4">
        <v>4.8</v>
      </c>
      <c r="N4">
        <v>7.2</v>
      </c>
      <c r="O4">
        <v>387</v>
      </c>
      <c r="P4">
        <v>392</v>
      </c>
      <c r="Q4">
        <v>6440</v>
      </c>
      <c r="R4">
        <v>6178</v>
      </c>
      <c r="S4">
        <v>565</v>
      </c>
      <c r="T4">
        <v>6.0869565217391299</v>
      </c>
      <c r="U4" s="6">
        <v>0.56369999999999998</v>
      </c>
      <c r="V4" s="7">
        <v>0.5</v>
      </c>
      <c r="W4" s="7">
        <v>0.1</v>
      </c>
    </row>
    <row r="5" spans="1:23" x14ac:dyDescent="0.3">
      <c r="A5" t="s">
        <v>13</v>
      </c>
      <c r="B5">
        <v>11</v>
      </c>
      <c r="C5">
        <v>6</v>
      </c>
      <c r="D5">
        <v>0</v>
      </c>
      <c r="E5" s="1">
        <f t="shared" si="0"/>
        <v>0.6470588235294118</v>
      </c>
      <c r="F5">
        <v>5.7</v>
      </c>
      <c r="G5">
        <v>22</v>
      </c>
      <c r="H5">
        <v>980</v>
      </c>
      <c r="I5" s="1">
        <v>0.308</v>
      </c>
      <c r="J5">
        <v>4.5999999999999996</v>
      </c>
      <c r="K5">
        <v>30</v>
      </c>
      <c r="L5">
        <v>6.3</v>
      </c>
      <c r="M5">
        <v>4.8</v>
      </c>
      <c r="N5">
        <v>4.8</v>
      </c>
      <c r="O5">
        <v>483</v>
      </c>
      <c r="P5">
        <v>289</v>
      </c>
      <c r="Q5">
        <v>6493</v>
      </c>
      <c r="R5">
        <v>4637</v>
      </c>
      <c r="S5">
        <v>538</v>
      </c>
      <c r="T5">
        <v>4.4509471738795598</v>
      </c>
      <c r="U5" s="6">
        <v>0.59209999999999996</v>
      </c>
      <c r="V5" s="7">
        <v>0.51</v>
      </c>
      <c r="W5" s="7">
        <v>0.1</v>
      </c>
    </row>
    <row r="6" spans="1:23" x14ac:dyDescent="0.3">
      <c r="A6" t="s">
        <v>14</v>
      </c>
      <c r="B6">
        <v>5</v>
      </c>
      <c r="C6">
        <v>12</v>
      </c>
      <c r="D6">
        <v>0</v>
      </c>
      <c r="E6" s="1">
        <f t="shared" si="0"/>
        <v>0.29411764705882354</v>
      </c>
      <c r="F6">
        <v>4.5999999999999996</v>
      </c>
      <c r="G6">
        <v>29</v>
      </c>
      <c r="H6">
        <v>864</v>
      </c>
      <c r="I6" s="1">
        <v>0.26100000000000001</v>
      </c>
      <c r="J6">
        <v>5.0999999999999996</v>
      </c>
      <c r="K6">
        <v>16</v>
      </c>
      <c r="L6">
        <v>5</v>
      </c>
      <c r="M6">
        <v>4</v>
      </c>
      <c r="N6">
        <v>5.9</v>
      </c>
      <c r="O6">
        <v>304</v>
      </c>
      <c r="P6">
        <v>404</v>
      </c>
      <c r="Q6">
        <v>5081</v>
      </c>
      <c r="R6">
        <v>5201</v>
      </c>
      <c r="S6">
        <v>522</v>
      </c>
      <c r="T6">
        <v>7.951190710490061</v>
      </c>
      <c r="U6" s="6">
        <v>0.58860000000000001</v>
      </c>
      <c r="V6" s="7">
        <v>0.44</v>
      </c>
      <c r="W6" s="7">
        <v>0.08</v>
      </c>
    </row>
    <row r="7" spans="1:23" x14ac:dyDescent="0.3">
      <c r="A7" t="s">
        <v>15</v>
      </c>
      <c r="B7">
        <v>6</v>
      </c>
      <c r="C7">
        <v>11</v>
      </c>
      <c r="D7">
        <v>0</v>
      </c>
      <c r="E7" s="1">
        <f t="shared" si="0"/>
        <v>0.35294117647058826</v>
      </c>
      <c r="F7">
        <v>4.9000000000000004</v>
      </c>
      <c r="G7">
        <v>29</v>
      </c>
      <c r="H7">
        <v>914</v>
      </c>
      <c r="I7" s="1">
        <v>0.23100000000000001</v>
      </c>
      <c r="J7">
        <v>5.3</v>
      </c>
      <c r="K7">
        <v>16</v>
      </c>
      <c r="L7">
        <v>5.3</v>
      </c>
      <c r="M7">
        <v>4.2</v>
      </c>
      <c r="N7">
        <v>6.2</v>
      </c>
      <c r="O7">
        <v>311</v>
      </c>
      <c r="P7">
        <v>407</v>
      </c>
      <c r="Q7">
        <v>5225</v>
      </c>
      <c r="R7">
        <v>5384</v>
      </c>
      <c r="S7">
        <v>515</v>
      </c>
      <c r="T7">
        <v>7.7894736842105265</v>
      </c>
      <c r="U7" s="6">
        <v>0.55810000000000004</v>
      </c>
      <c r="V7" s="7">
        <v>0.44</v>
      </c>
      <c r="W7" s="7">
        <v>0.09</v>
      </c>
    </row>
    <row r="8" spans="1:23" x14ac:dyDescent="0.3">
      <c r="A8" t="s">
        <v>16</v>
      </c>
      <c r="B8">
        <v>10</v>
      </c>
      <c r="C8">
        <v>7</v>
      </c>
      <c r="D8">
        <v>0</v>
      </c>
      <c r="E8" s="1">
        <f t="shared" si="0"/>
        <v>0.58823529411764708</v>
      </c>
      <c r="F8">
        <v>5.9</v>
      </c>
      <c r="G8">
        <v>21</v>
      </c>
      <c r="H8">
        <v>620</v>
      </c>
      <c r="I8" s="1">
        <v>0.245</v>
      </c>
      <c r="J8">
        <v>5.5</v>
      </c>
      <c r="K8">
        <v>21</v>
      </c>
      <c r="L8">
        <v>7.2</v>
      </c>
      <c r="M8">
        <v>4</v>
      </c>
      <c r="N8">
        <v>6.3</v>
      </c>
      <c r="O8">
        <v>460</v>
      </c>
      <c r="P8">
        <v>376</v>
      </c>
      <c r="Q8">
        <v>6145</v>
      </c>
      <c r="R8">
        <v>5964</v>
      </c>
      <c r="S8">
        <v>537</v>
      </c>
      <c r="T8">
        <v>6.1187957689178187</v>
      </c>
      <c r="U8" s="6">
        <v>0.5948</v>
      </c>
      <c r="V8" s="7">
        <v>0.47</v>
      </c>
      <c r="W8" s="7">
        <v>0.1</v>
      </c>
    </row>
    <row r="9" spans="1:23" x14ac:dyDescent="0.3">
      <c r="A9" t="s">
        <v>25</v>
      </c>
      <c r="B9">
        <v>8</v>
      </c>
      <c r="C9">
        <v>9</v>
      </c>
      <c r="D9">
        <v>0</v>
      </c>
      <c r="E9" s="1">
        <f t="shared" si="0"/>
        <v>0.47058823529411764</v>
      </c>
      <c r="F9">
        <v>5.5</v>
      </c>
      <c r="G9">
        <v>22</v>
      </c>
      <c r="H9">
        <v>1035</v>
      </c>
      <c r="I9" s="1">
        <v>0.24299999999999999</v>
      </c>
      <c r="J9">
        <v>5</v>
      </c>
      <c r="K9">
        <v>19</v>
      </c>
      <c r="L9">
        <v>5.8</v>
      </c>
      <c r="M9">
        <v>5.0999999999999996</v>
      </c>
      <c r="N9">
        <v>5.6</v>
      </c>
      <c r="O9">
        <v>349</v>
      </c>
      <c r="P9">
        <v>371</v>
      </c>
      <c r="Q9">
        <v>5791</v>
      </c>
      <c r="R9">
        <v>5296</v>
      </c>
      <c r="S9">
        <v>520</v>
      </c>
      <c r="T9">
        <v>6.4064928337074774</v>
      </c>
      <c r="U9" s="6">
        <v>0.53979999999999995</v>
      </c>
      <c r="V9" s="7">
        <v>0.47</v>
      </c>
      <c r="W9" s="7">
        <v>0.12</v>
      </c>
    </row>
    <row r="10" spans="1:23" x14ac:dyDescent="0.3">
      <c r="A10" t="s">
        <v>17</v>
      </c>
      <c r="B10">
        <v>12</v>
      </c>
      <c r="C10">
        <v>5</v>
      </c>
      <c r="D10">
        <v>0</v>
      </c>
      <c r="E10" s="1">
        <f t="shared" si="0"/>
        <v>0.70588235294117652</v>
      </c>
      <c r="F10">
        <v>6</v>
      </c>
      <c r="G10">
        <v>20</v>
      </c>
      <c r="H10">
        <v>1103</v>
      </c>
      <c r="I10" s="1">
        <v>0.27600000000000002</v>
      </c>
      <c r="J10">
        <v>5.5</v>
      </c>
      <c r="K10">
        <v>34</v>
      </c>
      <c r="L10">
        <v>7.1</v>
      </c>
      <c r="M10">
        <v>4.5</v>
      </c>
      <c r="N10">
        <v>6.2</v>
      </c>
      <c r="O10">
        <v>530</v>
      </c>
      <c r="P10">
        <v>358</v>
      </c>
      <c r="Q10">
        <v>6919</v>
      </c>
      <c r="R10">
        <v>5967</v>
      </c>
      <c r="S10">
        <v>521</v>
      </c>
      <c r="T10">
        <v>5.1741581153345857</v>
      </c>
      <c r="U10" s="6">
        <v>0.59609999999999996</v>
      </c>
      <c r="V10" s="7">
        <v>0.5</v>
      </c>
      <c r="W10" s="7">
        <v>0.1</v>
      </c>
    </row>
    <row r="11" spans="1:23" x14ac:dyDescent="0.3">
      <c r="A11" t="s">
        <v>18</v>
      </c>
      <c r="B11">
        <v>7</v>
      </c>
      <c r="C11">
        <v>10</v>
      </c>
      <c r="D11">
        <v>0</v>
      </c>
      <c r="E11" s="1">
        <f t="shared" si="0"/>
        <v>0.41176470588235292</v>
      </c>
      <c r="F11">
        <v>5.4</v>
      </c>
      <c r="G11">
        <v>18</v>
      </c>
      <c r="H11">
        <v>711</v>
      </c>
      <c r="I11" s="1">
        <v>0.25900000000000001</v>
      </c>
      <c r="J11">
        <v>5.3</v>
      </c>
      <c r="K11">
        <v>19</v>
      </c>
      <c r="L11">
        <v>6.2</v>
      </c>
      <c r="M11">
        <v>4.5</v>
      </c>
      <c r="N11">
        <v>6.1</v>
      </c>
      <c r="O11">
        <v>335</v>
      </c>
      <c r="P11">
        <v>322</v>
      </c>
      <c r="Q11">
        <v>5618</v>
      </c>
      <c r="R11">
        <v>5544</v>
      </c>
      <c r="S11">
        <v>523</v>
      </c>
      <c r="T11">
        <v>5.7315770736917049</v>
      </c>
      <c r="U11" s="6">
        <v>0.56079999999999997</v>
      </c>
      <c r="V11" s="7">
        <v>0.47</v>
      </c>
      <c r="W11" s="7">
        <v>0.1</v>
      </c>
    </row>
    <row r="12" spans="1:23" x14ac:dyDescent="0.3">
      <c r="A12" t="s">
        <v>19</v>
      </c>
      <c r="B12">
        <v>3</v>
      </c>
      <c r="C12">
        <v>13</v>
      </c>
      <c r="D12">
        <v>1</v>
      </c>
      <c r="E12" s="1">
        <f t="shared" si="0"/>
        <v>0.20588235294117646</v>
      </c>
      <c r="F12">
        <v>5.2</v>
      </c>
      <c r="G12">
        <v>23</v>
      </c>
      <c r="H12">
        <v>824</v>
      </c>
      <c r="I12" s="1">
        <v>0.20499999999999999</v>
      </c>
      <c r="J12">
        <v>5.9</v>
      </c>
      <c r="K12">
        <v>19</v>
      </c>
      <c r="L12">
        <v>5.7</v>
      </c>
      <c r="M12">
        <v>4.4000000000000004</v>
      </c>
      <c r="N12">
        <v>7.2</v>
      </c>
      <c r="O12">
        <v>325</v>
      </c>
      <c r="P12">
        <v>467</v>
      </c>
      <c r="Q12">
        <v>5484</v>
      </c>
      <c r="R12">
        <v>6456</v>
      </c>
      <c r="S12">
        <v>496</v>
      </c>
      <c r="T12">
        <v>8.5156819839533178</v>
      </c>
      <c r="U12" s="6">
        <v>0.59560000000000002</v>
      </c>
      <c r="V12" s="7">
        <v>0.46</v>
      </c>
      <c r="W12" s="7">
        <v>0.1</v>
      </c>
    </row>
    <row r="13" spans="1:23" x14ac:dyDescent="0.3">
      <c r="A13" t="s">
        <v>20</v>
      </c>
      <c r="B13">
        <v>13</v>
      </c>
      <c r="C13">
        <v>4</v>
      </c>
      <c r="D13">
        <v>0</v>
      </c>
      <c r="E13" s="1">
        <f t="shared" si="0"/>
        <v>0.76470588235294112</v>
      </c>
      <c r="F13">
        <v>5.8</v>
      </c>
      <c r="G13">
        <v>13</v>
      </c>
      <c r="H13">
        <v>678</v>
      </c>
      <c r="I13" s="1">
        <v>0.24399999999999999</v>
      </c>
      <c r="J13">
        <v>5.4</v>
      </c>
      <c r="K13">
        <v>26</v>
      </c>
      <c r="L13">
        <v>6.9</v>
      </c>
      <c r="M13">
        <v>4.3</v>
      </c>
      <c r="N13">
        <v>5.8</v>
      </c>
      <c r="O13">
        <v>450</v>
      </c>
      <c r="P13">
        <v>371</v>
      </c>
      <c r="Q13">
        <v>6215</v>
      </c>
      <c r="R13">
        <v>5579</v>
      </c>
      <c r="S13">
        <v>560</v>
      </c>
      <c r="T13">
        <v>5.9694288012872088</v>
      </c>
      <c r="U13" s="6">
        <v>0.58609999999999995</v>
      </c>
      <c r="V13" s="7">
        <v>0.51</v>
      </c>
      <c r="W13" s="7">
        <v>0.09</v>
      </c>
    </row>
    <row r="14" spans="1:23" x14ac:dyDescent="0.3">
      <c r="A14" t="s">
        <v>21</v>
      </c>
      <c r="B14">
        <v>4</v>
      </c>
      <c r="C14">
        <v>13</v>
      </c>
      <c r="D14">
        <v>0</v>
      </c>
      <c r="E14" s="1">
        <f t="shared" si="0"/>
        <v>0.23529411764705882</v>
      </c>
      <c r="F14">
        <v>4.7</v>
      </c>
      <c r="G14">
        <v>22</v>
      </c>
      <c r="H14">
        <v>978</v>
      </c>
      <c r="I14" s="1">
        <v>0.20699999999999999</v>
      </c>
      <c r="J14">
        <v>5.9</v>
      </c>
      <c r="K14">
        <v>25</v>
      </c>
      <c r="L14">
        <v>5.6</v>
      </c>
      <c r="M14">
        <v>3.4</v>
      </c>
      <c r="N14">
        <v>7.1</v>
      </c>
      <c r="O14">
        <v>280</v>
      </c>
      <c r="P14">
        <v>452</v>
      </c>
      <c r="Q14">
        <v>4727</v>
      </c>
      <c r="R14">
        <v>6535</v>
      </c>
      <c r="S14">
        <v>481</v>
      </c>
      <c r="T14">
        <v>9.5620901205838784</v>
      </c>
      <c r="U14" s="6">
        <v>0.58420000000000005</v>
      </c>
      <c r="V14" s="7">
        <v>0.42</v>
      </c>
      <c r="W14" s="7">
        <v>7.0000000000000007E-2</v>
      </c>
    </row>
    <row r="15" spans="1:23" x14ac:dyDescent="0.3">
      <c r="A15" t="s">
        <v>22</v>
      </c>
      <c r="B15">
        <v>9</v>
      </c>
      <c r="C15">
        <v>8</v>
      </c>
      <c r="D15">
        <v>0</v>
      </c>
      <c r="E15" s="1">
        <f t="shared" si="0"/>
        <v>0.52941176470588236</v>
      </c>
      <c r="F15">
        <v>5.6</v>
      </c>
      <c r="G15">
        <v>19</v>
      </c>
      <c r="H15">
        <v>688</v>
      </c>
      <c r="I15" s="1">
        <v>0.18100000000000002</v>
      </c>
      <c r="J15">
        <v>5.6</v>
      </c>
      <c r="K15">
        <v>33</v>
      </c>
      <c r="L15">
        <v>6.1</v>
      </c>
      <c r="M15">
        <v>5.0999999999999996</v>
      </c>
      <c r="N15">
        <v>6.3</v>
      </c>
      <c r="O15">
        <v>451</v>
      </c>
      <c r="P15">
        <v>365</v>
      </c>
      <c r="Q15">
        <v>5901</v>
      </c>
      <c r="R15">
        <v>5834</v>
      </c>
      <c r="S15">
        <v>545</v>
      </c>
      <c r="T15">
        <v>6.1853923063887475</v>
      </c>
      <c r="U15" s="6">
        <v>0.52570000000000006</v>
      </c>
      <c r="V15" s="7">
        <v>0.48</v>
      </c>
      <c r="W15" s="7">
        <v>0.11</v>
      </c>
    </row>
    <row r="16" spans="1:23" x14ac:dyDescent="0.3">
      <c r="A16" t="s">
        <v>23</v>
      </c>
      <c r="B16">
        <v>3</v>
      </c>
      <c r="C16">
        <v>14</v>
      </c>
      <c r="D16">
        <v>0</v>
      </c>
      <c r="E16" s="1">
        <f t="shared" si="0"/>
        <v>0.17647058823529413</v>
      </c>
      <c r="F16">
        <v>5</v>
      </c>
      <c r="G16">
        <v>29</v>
      </c>
      <c r="H16">
        <v>856</v>
      </c>
      <c r="I16" s="1">
        <v>0.24199999999999999</v>
      </c>
      <c r="J16">
        <v>5.6</v>
      </c>
      <c r="K16">
        <v>9</v>
      </c>
      <c r="L16">
        <v>5.4</v>
      </c>
      <c r="M16">
        <v>4.5</v>
      </c>
      <c r="N16">
        <v>6.7</v>
      </c>
      <c r="O16">
        <v>253</v>
      </c>
      <c r="P16">
        <v>457</v>
      </c>
      <c r="Q16">
        <v>5191</v>
      </c>
      <c r="R16">
        <v>6002</v>
      </c>
      <c r="S16">
        <v>465</v>
      </c>
      <c r="T16">
        <v>8.803698709304566</v>
      </c>
      <c r="U16" s="6">
        <v>0.61870000000000003</v>
      </c>
      <c r="V16" s="7">
        <v>0.46</v>
      </c>
      <c r="W16" s="7">
        <v>0.08</v>
      </c>
    </row>
    <row r="17" spans="1:23" x14ac:dyDescent="0.3">
      <c r="A17" t="s">
        <v>24</v>
      </c>
      <c r="B17">
        <v>12</v>
      </c>
      <c r="C17">
        <v>5</v>
      </c>
      <c r="D17">
        <v>0</v>
      </c>
      <c r="E17" s="1">
        <f t="shared" si="0"/>
        <v>0.70588235294117652</v>
      </c>
      <c r="F17">
        <v>5.9</v>
      </c>
      <c r="G17">
        <v>25</v>
      </c>
      <c r="H17">
        <v>925</v>
      </c>
      <c r="I17" s="1">
        <v>0.26400000000000001</v>
      </c>
      <c r="J17">
        <v>5.9</v>
      </c>
      <c r="K17">
        <v>29</v>
      </c>
      <c r="L17">
        <v>6.8</v>
      </c>
      <c r="M17">
        <v>4.5</v>
      </c>
      <c r="N17">
        <v>6.7</v>
      </c>
      <c r="O17">
        <v>450</v>
      </c>
      <c r="P17">
        <v>364</v>
      </c>
      <c r="Q17">
        <v>6746</v>
      </c>
      <c r="R17">
        <v>6272</v>
      </c>
      <c r="S17">
        <v>526</v>
      </c>
      <c r="T17">
        <v>5.3957900978357554</v>
      </c>
      <c r="U17" s="6">
        <v>0.62360000000000004</v>
      </c>
      <c r="V17" s="7">
        <v>0.55000000000000004</v>
      </c>
      <c r="W17" s="7">
        <v>0.1</v>
      </c>
    </row>
    <row r="18" spans="1:23" x14ac:dyDescent="0.3">
      <c r="A18" t="s">
        <v>27</v>
      </c>
      <c r="B18">
        <v>9</v>
      </c>
      <c r="C18">
        <v>8</v>
      </c>
      <c r="D18">
        <v>0</v>
      </c>
      <c r="E18" s="1">
        <f t="shared" si="0"/>
        <v>0.52941176470588236</v>
      </c>
      <c r="F18">
        <v>5.9</v>
      </c>
      <c r="G18">
        <v>22</v>
      </c>
      <c r="H18">
        <v>1033</v>
      </c>
      <c r="I18" s="1">
        <v>0.25</v>
      </c>
      <c r="J18">
        <v>5.6</v>
      </c>
      <c r="K18">
        <v>21</v>
      </c>
      <c r="L18">
        <v>6.8</v>
      </c>
      <c r="M18">
        <v>4.3</v>
      </c>
      <c r="N18">
        <v>6.3</v>
      </c>
      <c r="O18">
        <v>474</v>
      </c>
      <c r="P18">
        <v>459</v>
      </c>
      <c r="Q18">
        <v>6634</v>
      </c>
      <c r="R18">
        <v>6122</v>
      </c>
      <c r="S18">
        <v>501</v>
      </c>
      <c r="T18">
        <v>6.9189026228519745</v>
      </c>
      <c r="U18" s="6">
        <v>0.59310000000000007</v>
      </c>
      <c r="V18" s="7">
        <v>0.51</v>
      </c>
      <c r="W18" s="7">
        <v>0.1</v>
      </c>
    </row>
    <row r="19" spans="1:23" x14ac:dyDescent="0.3">
      <c r="A19" t="s">
        <v>28</v>
      </c>
      <c r="B19">
        <v>12</v>
      </c>
      <c r="C19">
        <v>5</v>
      </c>
      <c r="D19">
        <v>0</v>
      </c>
      <c r="E19" s="1">
        <f t="shared" si="0"/>
        <v>0.70588235294117652</v>
      </c>
      <c r="F19">
        <v>6</v>
      </c>
      <c r="G19">
        <v>23</v>
      </c>
      <c r="H19">
        <v>637</v>
      </c>
      <c r="I19" s="1">
        <v>0.22800000000000001</v>
      </c>
      <c r="J19">
        <v>5.2</v>
      </c>
      <c r="K19">
        <v>25</v>
      </c>
      <c r="L19">
        <v>7.3</v>
      </c>
      <c r="M19">
        <v>4</v>
      </c>
      <c r="N19">
        <v>6.1</v>
      </c>
      <c r="O19">
        <v>460</v>
      </c>
      <c r="P19">
        <v>372</v>
      </c>
      <c r="Q19">
        <v>6325</v>
      </c>
      <c r="R19">
        <v>5863</v>
      </c>
      <c r="S19">
        <v>493</v>
      </c>
      <c r="T19">
        <v>5.8814229249011856</v>
      </c>
      <c r="U19" s="6">
        <v>0.62880000000000003</v>
      </c>
      <c r="V19" s="7">
        <v>0.51</v>
      </c>
      <c r="W19" s="7">
        <v>0.09</v>
      </c>
    </row>
    <row r="20" spans="1:23" x14ac:dyDescent="0.3">
      <c r="A20" t="s">
        <v>26</v>
      </c>
      <c r="B20">
        <v>10</v>
      </c>
      <c r="C20">
        <v>7</v>
      </c>
      <c r="D20">
        <v>0</v>
      </c>
      <c r="E20" s="1">
        <f t="shared" si="0"/>
        <v>0.58823529411764708</v>
      </c>
      <c r="F20">
        <v>5.7</v>
      </c>
      <c r="G20">
        <v>24</v>
      </c>
      <c r="H20">
        <v>1104</v>
      </c>
      <c r="I20" s="1">
        <v>0.24399999999999999</v>
      </c>
      <c r="J20">
        <v>5.2</v>
      </c>
      <c r="K20">
        <v>15</v>
      </c>
      <c r="L20">
        <v>6.8</v>
      </c>
      <c r="M20">
        <v>3.9</v>
      </c>
      <c r="N20">
        <v>5.9</v>
      </c>
      <c r="O20">
        <v>374</v>
      </c>
      <c r="P20">
        <v>439</v>
      </c>
      <c r="Q20">
        <v>6184</v>
      </c>
      <c r="R20">
        <v>5732</v>
      </c>
      <c r="S20">
        <v>527</v>
      </c>
      <c r="T20">
        <v>7.0989650711513583</v>
      </c>
      <c r="U20" s="6">
        <v>0.625</v>
      </c>
      <c r="V20" s="7">
        <v>0.5</v>
      </c>
      <c r="W20" s="7">
        <v>0.1</v>
      </c>
    </row>
    <row r="21" spans="1:23" x14ac:dyDescent="0.3">
      <c r="A21" t="s">
        <v>29</v>
      </c>
      <c r="B21">
        <v>9</v>
      </c>
      <c r="C21">
        <v>8</v>
      </c>
      <c r="D21">
        <v>0</v>
      </c>
      <c r="E21" s="1">
        <f t="shared" si="0"/>
        <v>0.52941176470588236</v>
      </c>
      <c r="F21">
        <v>4.8</v>
      </c>
      <c r="G21">
        <v>26</v>
      </c>
      <c r="H21">
        <v>825</v>
      </c>
      <c r="I21" s="1">
        <v>0.28499999999999998</v>
      </c>
      <c r="J21">
        <v>5.3</v>
      </c>
      <c r="K21">
        <v>26</v>
      </c>
      <c r="L21">
        <v>5.6</v>
      </c>
      <c r="M21">
        <v>3.5</v>
      </c>
      <c r="N21">
        <v>5.9</v>
      </c>
      <c r="O21">
        <v>341</v>
      </c>
      <c r="P21">
        <v>373</v>
      </c>
      <c r="Q21">
        <v>5219</v>
      </c>
      <c r="R21">
        <v>5738</v>
      </c>
      <c r="S21">
        <v>518</v>
      </c>
      <c r="T21">
        <v>7.1469630197355816</v>
      </c>
      <c r="U21" s="6">
        <v>0.59709999999999996</v>
      </c>
      <c r="V21" s="7">
        <v>0.47</v>
      </c>
      <c r="W21" s="7">
        <v>7.0000000000000007E-2</v>
      </c>
    </row>
    <row r="22" spans="1:23" x14ac:dyDescent="0.3">
      <c r="A22" t="s">
        <v>30</v>
      </c>
      <c r="B22">
        <v>8</v>
      </c>
      <c r="C22">
        <v>9</v>
      </c>
      <c r="D22">
        <v>0</v>
      </c>
      <c r="E22" s="1">
        <f t="shared" si="0"/>
        <v>0.47058823529411764</v>
      </c>
      <c r="F22">
        <v>5.7</v>
      </c>
      <c r="G22">
        <v>13</v>
      </c>
      <c r="H22">
        <v>1043</v>
      </c>
      <c r="I22" s="1">
        <v>0.26200000000000001</v>
      </c>
      <c r="J22">
        <v>5.7</v>
      </c>
      <c r="K22">
        <v>24</v>
      </c>
      <c r="L22">
        <v>6.7</v>
      </c>
      <c r="M22">
        <v>4.3</v>
      </c>
      <c r="N22">
        <v>6.4</v>
      </c>
      <c r="O22">
        <v>425</v>
      </c>
      <c r="P22">
        <v>426</v>
      </c>
      <c r="Q22">
        <v>6168</v>
      </c>
      <c r="R22">
        <v>6522</v>
      </c>
      <c r="S22">
        <v>503</v>
      </c>
      <c r="T22">
        <v>6.9066147859922182</v>
      </c>
      <c r="U22" s="6">
        <v>0.58540000000000003</v>
      </c>
      <c r="V22" s="7">
        <v>0.45</v>
      </c>
      <c r="W22" s="7">
        <v>0.11</v>
      </c>
    </row>
    <row r="23" spans="1:23" x14ac:dyDescent="0.3">
      <c r="A23" t="s">
        <v>31</v>
      </c>
      <c r="B23">
        <v>10</v>
      </c>
      <c r="C23">
        <v>7</v>
      </c>
      <c r="D23">
        <v>0</v>
      </c>
      <c r="E23" s="1">
        <f t="shared" si="0"/>
        <v>0.58823529411764708</v>
      </c>
      <c r="F23">
        <v>5.7</v>
      </c>
      <c r="G23">
        <v>23</v>
      </c>
      <c r="H23">
        <v>854</v>
      </c>
      <c r="I23" s="1">
        <v>0.25600000000000001</v>
      </c>
      <c r="J23">
        <v>5.0999999999999996</v>
      </c>
      <c r="K23">
        <v>30</v>
      </c>
      <c r="L23">
        <v>6.9</v>
      </c>
      <c r="M23">
        <v>4.4000000000000004</v>
      </c>
      <c r="N23">
        <v>5.5</v>
      </c>
      <c r="O23">
        <v>462</v>
      </c>
      <c r="P23">
        <v>303</v>
      </c>
      <c r="Q23">
        <v>6008</v>
      </c>
      <c r="R23">
        <v>5284</v>
      </c>
      <c r="S23">
        <v>520</v>
      </c>
      <c r="T23">
        <v>5.0432756324900136</v>
      </c>
      <c r="U23" s="6">
        <v>0.54270000000000007</v>
      </c>
      <c r="V23" s="7">
        <v>0.51</v>
      </c>
      <c r="W23" s="7">
        <v>0.12</v>
      </c>
    </row>
    <row r="24" spans="1:23" x14ac:dyDescent="0.3">
      <c r="A24" t="s">
        <v>32</v>
      </c>
      <c r="B24">
        <v>9</v>
      </c>
      <c r="C24">
        <v>8</v>
      </c>
      <c r="D24">
        <v>0</v>
      </c>
      <c r="E24" s="1">
        <f t="shared" si="0"/>
        <v>0.52941176470588236</v>
      </c>
      <c r="F24">
        <v>4.9000000000000004</v>
      </c>
      <c r="G24">
        <v>18</v>
      </c>
      <c r="H24">
        <v>811</v>
      </c>
      <c r="I24" s="1">
        <v>0.247</v>
      </c>
      <c r="J24">
        <v>5.0999999999999996</v>
      </c>
      <c r="K24">
        <v>25</v>
      </c>
      <c r="L24">
        <v>5.9</v>
      </c>
      <c r="M24">
        <v>3.9</v>
      </c>
      <c r="N24">
        <v>6</v>
      </c>
      <c r="O24">
        <v>364</v>
      </c>
      <c r="P24">
        <v>335</v>
      </c>
      <c r="Q24">
        <v>5177</v>
      </c>
      <c r="R24">
        <v>5410</v>
      </c>
      <c r="S24">
        <v>520</v>
      </c>
      <c r="T24">
        <v>6.4709291095228894</v>
      </c>
      <c r="U24" s="6">
        <v>0.51469999999999994</v>
      </c>
      <c r="V24" s="7">
        <v>0.43</v>
      </c>
      <c r="W24" s="7">
        <v>0.08</v>
      </c>
    </row>
    <row r="25" spans="1:23" x14ac:dyDescent="0.3">
      <c r="A25" t="s">
        <v>33</v>
      </c>
      <c r="B25">
        <v>4</v>
      </c>
      <c r="C25">
        <v>13</v>
      </c>
      <c r="D25">
        <v>0</v>
      </c>
      <c r="E25" s="1">
        <f t="shared" si="0"/>
        <v>0.23529411764705882</v>
      </c>
      <c r="F25">
        <v>4.7</v>
      </c>
      <c r="G25">
        <v>30</v>
      </c>
      <c r="H25">
        <v>674</v>
      </c>
      <c r="I25" s="1">
        <v>0.20100000000000001</v>
      </c>
      <c r="J25">
        <v>5.3</v>
      </c>
      <c r="K25">
        <v>22</v>
      </c>
      <c r="L25">
        <v>5.0999999999999996</v>
      </c>
      <c r="M25">
        <v>4</v>
      </c>
      <c r="N25">
        <v>6</v>
      </c>
      <c r="O25">
        <v>258</v>
      </c>
      <c r="P25">
        <v>416</v>
      </c>
      <c r="Q25">
        <v>4884</v>
      </c>
      <c r="R25">
        <v>6032</v>
      </c>
      <c r="S25">
        <v>488</v>
      </c>
      <c r="T25">
        <v>8.517608517608517</v>
      </c>
      <c r="U25" s="6">
        <v>0.60099999999999998</v>
      </c>
      <c r="V25" s="7">
        <v>0.41</v>
      </c>
      <c r="W25" s="7">
        <v>7.0000000000000007E-2</v>
      </c>
    </row>
    <row r="26" spans="1:23" x14ac:dyDescent="0.3">
      <c r="A26" t="s">
        <v>34</v>
      </c>
      <c r="B26">
        <v>4</v>
      </c>
      <c r="C26">
        <v>13</v>
      </c>
      <c r="D26">
        <v>0</v>
      </c>
      <c r="E26" s="1">
        <f t="shared" si="0"/>
        <v>0.23529411764705882</v>
      </c>
      <c r="F26">
        <v>5</v>
      </c>
      <c r="G26">
        <v>27</v>
      </c>
      <c r="H26">
        <v>860</v>
      </c>
      <c r="I26" s="1">
        <v>0.214</v>
      </c>
      <c r="J26">
        <v>5.9</v>
      </c>
      <c r="K26">
        <v>14</v>
      </c>
      <c r="L26">
        <v>5.4</v>
      </c>
      <c r="M26">
        <v>4.4000000000000004</v>
      </c>
      <c r="N26">
        <v>7.1</v>
      </c>
      <c r="O26">
        <v>310</v>
      </c>
      <c r="P26">
        <v>504</v>
      </c>
      <c r="Q26">
        <v>5208</v>
      </c>
      <c r="R26">
        <v>6760</v>
      </c>
      <c r="S26">
        <v>473</v>
      </c>
      <c r="T26">
        <v>9.67741935483871</v>
      </c>
      <c r="U26" s="6">
        <v>0.63319999999999999</v>
      </c>
      <c r="V26" s="7">
        <v>0.45</v>
      </c>
      <c r="W26" s="7">
        <v>0.09</v>
      </c>
    </row>
    <row r="27" spans="1:23" x14ac:dyDescent="0.3">
      <c r="A27" t="s">
        <v>35</v>
      </c>
      <c r="B27">
        <v>9</v>
      </c>
      <c r="C27">
        <v>8</v>
      </c>
      <c r="D27">
        <v>0</v>
      </c>
      <c r="E27" s="1">
        <f t="shared" si="0"/>
        <v>0.52941176470588236</v>
      </c>
      <c r="F27">
        <v>5.7</v>
      </c>
      <c r="G27">
        <v>16</v>
      </c>
      <c r="H27">
        <v>842</v>
      </c>
      <c r="I27" s="1">
        <v>0.24</v>
      </c>
      <c r="J27">
        <v>5.2</v>
      </c>
      <c r="K27">
        <v>16</v>
      </c>
      <c r="L27">
        <v>6.5</v>
      </c>
      <c r="M27">
        <v>4.9000000000000004</v>
      </c>
      <c r="N27">
        <v>6.1</v>
      </c>
      <c r="O27">
        <v>444</v>
      </c>
      <c r="P27">
        <v>385</v>
      </c>
      <c r="Q27">
        <v>6119</v>
      </c>
      <c r="R27">
        <v>5590</v>
      </c>
      <c r="S27">
        <v>508</v>
      </c>
      <c r="T27">
        <v>6.2918777578035625</v>
      </c>
      <c r="U27" s="6">
        <v>0.50130000000000008</v>
      </c>
      <c r="V27" s="7">
        <v>0.5</v>
      </c>
      <c r="W27" s="7">
        <v>0.12</v>
      </c>
    </row>
    <row r="28" spans="1:23" x14ac:dyDescent="0.3">
      <c r="A28" t="s">
        <v>36</v>
      </c>
      <c r="B28">
        <v>9</v>
      </c>
      <c r="C28">
        <v>7</v>
      </c>
      <c r="D28">
        <v>1</v>
      </c>
      <c r="E28" s="1">
        <f t="shared" si="0"/>
        <v>0.55882352941176472</v>
      </c>
      <c r="F28">
        <v>4.8</v>
      </c>
      <c r="G28">
        <v>20</v>
      </c>
      <c r="H28">
        <v>831</v>
      </c>
      <c r="I28" s="1">
        <v>0.26100000000000001</v>
      </c>
      <c r="J28">
        <v>5.5</v>
      </c>
      <c r="K28">
        <v>22</v>
      </c>
      <c r="L28">
        <v>5.4</v>
      </c>
      <c r="M28">
        <v>3.9</v>
      </c>
      <c r="N28">
        <v>5.9</v>
      </c>
      <c r="O28">
        <v>343</v>
      </c>
      <c r="P28">
        <v>398</v>
      </c>
      <c r="Q28">
        <v>5361</v>
      </c>
      <c r="R28">
        <v>6139</v>
      </c>
      <c r="S28">
        <v>509</v>
      </c>
      <c r="T28">
        <v>7.4239880619287444</v>
      </c>
      <c r="U28" s="6">
        <v>0.63439999999999996</v>
      </c>
      <c r="V28" s="7">
        <v>0.44</v>
      </c>
      <c r="W28" s="7">
        <v>7.0000000000000007E-2</v>
      </c>
    </row>
    <row r="29" spans="1:23" x14ac:dyDescent="0.3">
      <c r="A29" t="s">
        <v>37</v>
      </c>
      <c r="B29">
        <v>10</v>
      </c>
      <c r="C29">
        <v>7</v>
      </c>
      <c r="D29">
        <v>0</v>
      </c>
      <c r="E29" s="1">
        <f t="shared" si="0"/>
        <v>0.58823529411764708</v>
      </c>
      <c r="F29">
        <v>6.1</v>
      </c>
      <c r="G29">
        <v>24</v>
      </c>
      <c r="H29">
        <v>1066</v>
      </c>
      <c r="I29" s="1">
        <v>0.24100000000000002</v>
      </c>
      <c r="J29">
        <v>5.0999999999999996</v>
      </c>
      <c r="K29">
        <v>20</v>
      </c>
      <c r="L29">
        <v>7.7</v>
      </c>
      <c r="M29">
        <v>4.3</v>
      </c>
      <c r="N29">
        <v>5.9</v>
      </c>
      <c r="O29">
        <v>427</v>
      </c>
      <c r="P29">
        <v>365</v>
      </c>
      <c r="Q29">
        <v>6387</v>
      </c>
      <c r="R29">
        <v>5270</v>
      </c>
      <c r="S29">
        <v>529</v>
      </c>
      <c r="T29">
        <v>5.7147330515108816</v>
      </c>
      <c r="U29" s="6">
        <v>0.5161</v>
      </c>
      <c r="V29" s="7">
        <v>0.48</v>
      </c>
      <c r="W29" s="7">
        <v>0.11</v>
      </c>
    </row>
    <row r="30" spans="1:23" x14ac:dyDescent="0.3">
      <c r="A30" t="s">
        <v>38</v>
      </c>
      <c r="B30">
        <v>7</v>
      </c>
      <c r="C30">
        <v>10</v>
      </c>
      <c r="D30">
        <v>0</v>
      </c>
      <c r="E30" s="1">
        <f t="shared" si="0"/>
        <v>0.41176470588235292</v>
      </c>
      <c r="F30">
        <v>5.8</v>
      </c>
      <c r="G30">
        <v>13</v>
      </c>
      <c r="H30">
        <v>803</v>
      </c>
      <c r="I30" s="1">
        <v>0.221</v>
      </c>
      <c r="J30">
        <v>5.4</v>
      </c>
      <c r="K30">
        <v>18</v>
      </c>
      <c r="L30">
        <v>6.3</v>
      </c>
      <c r="M30">
        <v>5</v>
      </c>
      <c r="N30">
        <v>6.5</v>
      </c>
      <c r="O30">
        <v>395</v>
      </c>
      <c r="P30">
        <v>366</v>
      </c>
      <c r="Q30">
        <v>5506</v>
      </c>
      <c r="R30">
        <v>6445</v>
      </c>
      <c r="S30">
        <v>435</v>
      </c>
      <c r="T30">
        <v>6.6472938612422805</v>
      </c>
      <c r="U30" s="6">
        <v>0.56710000000000005</v>
      </c>
      <c r="V30" s="7">
        <v>0.48</v>
      </c>
      <c r="W30" s="7">
        <v>0.11</v>
      </c>
    </row>
    <row r="31" spans="1:23" x14ac:dyDescent="0.3">
      <c r="A31" t="s">
        <v>39</v>
      </c>
      <c r="B31">
        <v>13</v>
      </c>
      <c r="C31">
        <v>4</v>
      </c>
      <c r="D31">
        <v>0</v>
      </c>
      <c r="E31" s="1">
        <f t="shared" si="0"/>
        <v>0.76470588235294112</v>
      </c>
      <c r="F31">
        <v>6.1</v>
      </c>
      <c r="G31">
        <v>19</v>
      </c>
      <c r="H31">
        <v>874</v>
      </c>
      <c r="I31" s="1">
        <v>0.28600000000000003</v>
      </c>
      <c r="J31">
        <v>5.2</v>
      </c>
      <c r="K31">
        <v>29</v>
      </c>
      <c r="L31">
        <v>6.9</v>
      </c>
      <c r="M31">
        <v>4.3</v>
      </c>
      <c r="N31">
        <v>5.6</v>
      </c>
      <c r="O31">
        <v>511</v>
      </c>
      <c r="P31">
        <v>353</v>
      </c>
      <c r="Q31">
        <v>6901</v>
      </c>
      <c r="R31">
        <v>5635</v>
      </c>
      <c r="S31">
        <v>518</v>
      </c>
      <c r="T31">
        <v>5.1152006955513691</v>
      </c>
      <c r="U31" s="6">
        <v>0.66459999999999997</v>
      </c>
      <c r="V31" s="7">
        <v>0.53</v>
      </c>
      <c r="W31" s="7">
        <v>0.1</v>
      </c>
    </row>
    <row r="32" spans="1:23" x14ac:dyDescent="0.3">
      <c r="A32" t="s">
        <v>40</v>
      </c>
      <c r="B32">
        <v>12</v>
      </c>
      <c r="C32">
        <v>5</v>
      </c>
      <c r="D32">
        <v>0</v>
      </c>
      <c r="E32" s="1">
        <f t="shared" si="0"/>
        <v>0.70588235294117652</v>
      </c>
      <c r="F32">
        <v>5.0999999999999996</v>
      </c>
      <c r="G32">
        <v>25</v>
      </c>
      <c r="H32">
        <v>973</v>
      </c>
      <c r="I32" s="1">
        <v>0.24</v>
      </c>
      <c r="J32">
        <v>5.4</v>
      </c>
      <c r="K32">
        <v>22</v>
      </c>
      <c r="L32">
        <v>5.9</v>
      </c>
      <c r="M32">
        <v>4.4000000000000004</v>
      </c>
      <c r="N32">
        <v>6.2</v>
      </c>
      <c r="O32">
        <v>419</v>
      </c>
      <c r="P32">
        <v>354</v>
      </c>
      <c r="Q32">
        <v>5822</v>
      </c>
      <c r="R32">
        <v>5607</v>
      </c>
      <c r="S32">
        <v>566</v>
      </c>
      <c r="T32">
        <v>6.0803847475094468</v>
      </c>
      <c r="U32" s="6">
        <v>0.51219999999999999</v>
      </c>
      <c r="V32" s="7">
        <v>0.47</v>
      </c>
      <c r="W32" s="7">
        <v>0.09</v>
      </c>
    </row>
    <row r="33" spans="1:23" x14ac:dyDescent="0.3">
      <c r="A33" t="s">
        <v>41</v>
      </c>
      <c r="B33">
        <v>7</v>
      </c>
      <c r="C33">
        <v>10</v>
      </c>
      <c r="D33">
        <v>0</v>
      </c>
      <c r="E33" s="1">
        <f t="shared" si="0"/>
        <v>0.41176470588235292</v>
      </c>
      <c r="F33">
        <v>5.0999999999999996</v>
      </c>
      <c r="G33">
        <v>24</v>
      </c>
      <c r="H33">
        <v>743</v>
      </c>
      <c r="I33" s="1">
        <v>0.24199999999999999</v>
      </c>
      <c r="J33">
        <v>5.7</v>
      </c>
      <c r="K33">
        <v>19</v>
      </c>
      <c r="L33">
        <v>5.8</v>
      </c>
      <c r="M33">
        <v>4.3</v>
      </c>
      <c r="N33">
        <v>6.8</v>
      </c>
      <c r="O33">
        <v>335</v>
      </c>
      <c r="P33">
        <v>434</v>
      </c>
      <c r="Q33">
        <v>5502</v>
      </c>
      <c r="R33">
        <v>6108</v>
      </c>
      <c r="S33">
        <v>522</v>
      </c>
      <c r="T33">
        <v>7.888040712468193</v>
      </c>
      <c r="U33" s="6">
        <v>0.55420000000000003</v>
      </c>
      <c r="V33" s="7">
        <v>0.48</v>
      </c>
      <c r="W33" s="7">
        <v>0.09</v>
      </c>
    </row>
  </sheetData>
  <conditionalFormatting sqref="E1:E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BC55-A224-47D7-B94B-D77CC15BE773}">
  <dimension ref="A1"/>
  <sheetViews>
    <sheetView zoomScale="76" zoomScaleNormal="76" workbookViewId="0">
      <selection activeCell="A152" sqref="A15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7D2F2-15E4-4205-8623-DF39ADFD6D24}">
  <dimension ref="A1:E22"/>
  <sheetViews>
    <sheetView zoomScaleNormal="100" workbookViewId="0">
      <selection activeCell="F12" sqref="F12"/>
    </sheetView>
  </sheetViews>
  <sheetFormatPr defaultRowHeight="14.4" x14ac:dyDescent="0.3"/>
  <sheetData>
    <row r="1" spans="1:5" x14ac:dyDescent="0.3">
      <c r="A1" t="s">
        <v>52</v>
      </c>
      <c r="B1" t="s">
        <v>53</v>
      </c>
      <c r="C1" t="s">
        <v>78</v>
      </c>
      <c r="D1" t="s">
        <v>81</v>
      </c>
      <c r="E1" t="s">
        <v>53</v>
      </c>
    </row>
    <row r="2" spans="1:5" x14ac:dyDescent="0.3">
      <c r="A2">
        <v>2014</v>
      </c>
      <c r="B2" s="8">
        <f>7/16</f>
        <v>0.4375</v>
      </c>
      <c r="C2" s="8">
        <f>12/16</f>
        <v>0.75</v>
      </c>
      <c r="D2" s="8">
        <f>12/16</f>
        <v>0.75</v>
      </c>
      <c r="E2" s="8">
        <f>7/16</f>
        <v>0.4375</v>
      </c>
    </row>
    <row r="3" spans="1:5" x14ac:dyDescent="0.3">
      <c r="A3">
        <v>2015</v>
      </c>
      <c r="B3" s="8">
        <f>11/16</f>
        <v>0.6875</v>
      </c>
      <c r="C3" s="8">
        <f>12/16</f>
        <v>0.75</v>
      </c>
      <c r="D3" s="8">
        <f>15/16</f>
        <v>0.9375</v>
      </c>
      <c r="E3" s="8">
        <f>11/16</f>
        <v>0.6875</v>
      </c>
    </row>
    <row r="4" spans="1:5" x14ac:dyDescent="0.3">
      <c r="A4">
        <v>2016</v>
      </c>
      <c r="B4" s="8">
        <f>8/16</f>
        <v>0.5</v>
      </c>
      <c r="C4" s="8">
        <f>14/16</f>
        <v>0.875</v>
      </c>
      <c r="D4" s="8">
        <f>11/16</f>
        <v>0.6875</v>
      </c>
      <c r="E4" s="8">
        <f>8/16</f>
        <v>0.5</v>
      </c>
    </row>
    <row r="5" spans="1:5" x14ac:dyDescent="0.3">
      <c r="A5">
        <v>2017</v>
      </c>
      <c r="B5" s="8">
        <f>13/16</f>
        <v>0.8125</v>
      </c>
      <c r="C5" s="8">
        <f>13/16</f>
        <v>0.8125</v>
      </c>
      <c r="D5" s="8">
        <f>13/16</f>
        <v>0.8125</v>
      </c>
      <c r="E5" s="8">
        <f>13/16</f>
        <v>0.8125</v>
      </c>
    </row>
    <row r="6" spans="1:5" x14ac:dyDescent="0.3">
      <c r="A6">
        <v>2018</v>
      </c>
      <c r="B6" s="8">
        <f>8.5/16</f>
        <v>0.53125</v>
      </c>
      <c r="C6" s="8">
        <f>11/16</f>
        <v>0.6875</v>
      </c>
      <c r="D6" s="8">
        <f>13/16</f>
        <v>0.8125</v>
      </c>
      <c r="E6" s="8">
        <f>8.5/16</f>
        <v>0.53125</v>
      </c>
    </row>
    <row r="7" spans="1:5" x14ac:dyDescent="0.3">
      <c r="A7">
        <v>2019</v>
      </c>
      <c r="B7" s="8">
        <f>10/16</f>
        <v>0.625</v>
      </c>
      <c r="C7" s="8">
        <f>12/16</f>
        <v>0.75</v>
      </c>
      <c r="D7" s="8">
        <f>13/16</f>
        <v>0.8125</v>
      </c>
      <c r="E7" s="8">
        <f>10/16</f>
        <v>0.625</v>
      </c>
    </row>
    <row r="8" spans="1:5" x14ac:dyDescent="0.3">
      <c r="A8">
        <v>2020</v>
      </c>
      <c r="B8" s="8">
        <f>7/16</f>
        <v>0.4375</v>
      </c>
      <c r="C8" s="8">
        <f>11/16</f>
        <v>0.6875</v>
      </c>
      <c r="D8" s="8">
        <f>14/16</f>
        <v>0.875</v>
      </c>
      <c r="E8" s="8">
        <f>7/16</f>
        <v>0.4375</v>
      </c>
    </row>
    <row r="9" spans="1:5" x14ac:dyDescent="0.3">
      <c r="A9">
        <v>2021</v>
      </c>
      <c r="B9" s="8">
        <f>8/16</f>
        <v>0.5</v>
      </c>
      <c r="C9" s="8">
        <f>12/17</f>
        <v>0.70588235294117652</v>
      </c>
      <c r="D9" s="8">
        <f>10/17</f>
        <v>0.58823529411764708</v>
      </c>
      <c r="E9" s="8">
        <f>8/16</f>
        <v>0.5</v>
      </c>
    </row>
    <row r="14" spans="1:5" x14ac:dyDescent="0.3">
      <c r="A14" t="s">
        <v>52</v>
      </c>
      <c r="B14" t="s">
        <v>53</v>
      </c>
      <c r="C14" t="s">
        <v>78</v>
      </c>
      <c r="D14" t="s">
        <v>81</v>
      </c>
      <c r="E14" t="s">
        <v>108</v>
      </c>
    </row>
    <row r="15" spans="1:5" x14ac:dyDescent="0.3">
      <c r="A15">
        <v>2014</v>
      </c>
      <c r="B15" s="8">
        <f>7/16</f>
        <v>0.4375</v>
      </c>
      <c r="C15" s="8"/>
      <c r="D15" s="8"/>
    </row>
    <row r="16" spans="1:5" x14ac:dyDescent="0.3">
      <c r="A16">
        <v>2015</v>
      </c>
      <c r="B16" s="8">
        <f>11/16</f>
        <v>0.6875</v>
      </c>
      <c r="C16" s="8"/>
      <c r="D16" s="8"/>
    </row>
    <row r="17" spans="1:4" x14ac:dyDescent="0.3">
      <c r="A17">
        <v>2016</v>
      </c>
      <c r="B17" s="8">
        <f>8/16</f>
        <v>0.5</v>
      </c>
      <c r="C17" s="8"/>
      <c r="D17" s="8"/>
    </row>
    <row r="18" spans="1:4" x14ac:dyDescent="0.3">
      <c r="A18">
        <v>2017</v>
      </c>
      <c r="B18" s="8">
        <f>13/16</f>
        <v>0.8125</v>
      </c>
      <c r="C18" s="8">
        <f>13/16</f>
        <v>0.8125</v>
      </c>
      <c r="D18" s="8">
        <f>13/16</f>
        <v>0.8125</v>
      </c>
    </row>
    <row r="19" spans="1:4" x14ac:dyDescent="0.3">
      <c r="A19">
        <v>2018</v>
      </c>
      <c r="B19" s="8">
        <f>8.5/16</f>
        <v>0.53125</v>
      </c>
      <c r="C19" s="8">
        <f>11/16</f>
        <v>0.6875</v>
      </c>
      <c r="D19" s="8">
        <f>13/16</f>
        <v>0.8125</v>
      </c>
    </row>
    <row r="20" spans="1:4" x14ac:dyDescent="0.3">
      <c r="A20">
        <v>2019</v>
      </c>
      <c r="B20" s="8">
        <f>10/16</f>
        <v>0.625</v>
      </c>
      <c r="C20" s="8">
        <f>12/16</f>
        <v>0.75</v>
      </c>
      <c r="D20" s="8">
        <f>13/16</f>
        <v>0.8125</v>
      </c>
    </row>
    <row r="21" spans="1:4" x14ac:dyDescent="0.3">
      <c r="A21">
        <v>2020</v>
      </c>
      <c r="B21" s="8">
        <f>7/16</f>
        <v>0.4375</v>
      </c>
      <c r="C21" s="8">
        <f>11/16</f>
        <v>0.6875</v>
      </c>
      <c r="D21" s="8">
        <f>14/16</f>
        <v>0.875</v>
      </c>
    </row>
    <row r="22" spans="1:4" x14ac:dyDescent="0.3">
      <c r="A22">
        <v>2021</v>
      </c>
      <c r="B22" s="8">
        <f>8/16</f>
        <v>0.5</v>
      </c>
      <c r="C22" s="8">
        <f>12/17</f>
        <v>0.70588235294117652</v>
      </c>
      <c r="D22" s="8">
        <f>10/17</f>
        <v>0.58823529411764708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74091-6B95-40D0-AFF6-2DEF7A009BD5}">
  <dimension ref="A1:J29"/>
  <sheetViews>
    <sheetView topLeftCell="A14" workbookViewId="0">
      <selection activeCell="C22" sqref="C22"/>
    </sheetView>
  </sheetViews>
  <sheetFormatPr defaultRowHeight="14.4" x14ac:dyDescent="0.3"/>
  <cols>
    <col min="1" max="1" width="19" bestFit="1" customWidth="1"/>
    <col min="2" max="2" width="13.44140625" customWidth="1"/>
    <col min="3" max="3" width="12.88671875" customWidth="1"/>
    <col min="4" max="4" width="23.77734375" customWidth="1"/>
    <col min="5" max="5" width="23.44140625" customWidth="1"/>
    <col min="6" max="6" width="24.6640625" customWidth="1"/>
    <col min="7" max="7" width="28.77734375" customWidth="1"/>
    <col min="8" max="8" width="26.33203125" customWidth="1"/>
    <col min="9" max="9" width="27.5546875" customWidth="1"/>
    <col min="10" max="10" width="39.109375" customWidth="1"/>
  </cols>
  <sheetData>
    <row r="1" spans="1:10" x14ac:dyDescent="0.3">
      <c r="A1" t="s">
        <v>52</v>
      </c>
      <c r="B1" t="s">
        <v>54</v>
      </c>
      <c r="C1" t="s">
        <v>55</v>
      </c>
      <c r="D1" t="s">
        <v>59</v>
      </c>
      <c r="E1" t="s">
        <v>56</v>
      </c>
      <c r="F1" t="s">
        <v>57</v>
      </c>
      <c r="G1" t="s">
        <v>58</v>
      </c>
      <c r="H1" t="s">
        <v>83</v>
      </c>
      <c r="I1" t="s">
        <v>82</v>
      </c>
      <c r="J1" t="s">
        <v>84</v>
      </c>
    </row>
    <row r="2" spans="1:10" x14ac:dyDescent="0.3">
      <c r="A2">
        <v>2014</v>
      </c>
      <c r="B2" s="2">
        <v>0</v>
      </c>
      <c r="C2">
        <v>6</v>
      </c>
      <c r="D2">
        <f>B2 / (B2 +C2)</f>
        <v>0</v>
      </c>
      <c r="E2">
        <v>9</v>
      </c>
      <c r="F2">
        <v>3</v>
      </c>
      <c r="G2">
        <f>E2/(E2+F2)</f>
        <v>0.75</v>
      </c>
      <c r="H2">
        <v>6</v>
      </c>
      <c r="I2">
        <v>4</v>
      </c>
      <c r="J2">
        <f>H2/(H2+I2)</f>
        <v>0.6</v>
      </c>
    </row>
    <row r="3" spans="1:10" x14ac:dyDescent="0.3">
      <c r="A3">
        <v>2015</v>
      </c>
      <c r="B3">
        <v>2</v>
      </c>
      <c r="C3">
        <v>5</v>
      </c>
      <c r="D3">
        <f t="shared" ref="D3:D9" si="0">B3 / (B3 +C3)</f>
        <v>0.2857142857142857</v>
      </c>
      <c r="E3">
        <v>8</v>
      </c>
      <c r="F3">
        <v>2</v>
      </c>
      <c r="G3">
        <f t="shared" ref="G3:G9" si="1">E3/(E3+F3)</f>
        <v>0.8</v>
      </c>
      <c r="H3">
        <v>6</v>
      </c>
      <c r="I3">
        <v>1</v>
      </c>
      <c r="J3">
        <f t="shared" ref="J3:J9" si="2">H3/(H3+I3)</f>
        <v>0.8571428571428571</v>
      </c>
    </row>
    <row r="4" spans="1:10" x14ac:dyDescent="0.3">
      <c r="A4">
        <v>2016</v>
      </c>
      <c r="B4">
        <v>4</v>
      </c>
      <c r="C4">
        <v>5</v>
      </c>
      <c r="D4">
        <f t="shared" si="0"/>
        <v>0.44444444444444442</v>
      </c>
      <c r="E4">
        <v>8</v>
      </c>
      <c r="F4">
        <v>1</v>
      </c>
      <c r="G4">
        <f t="shared" si="1"/>
        <v>0.88888888888888884</v>
      </c>
      <c r="H4">
        <v>6</v>
      </c>
      <c r="I4">
        <v>4</v>
      </c>
      <c r="J4">
        <f t="shared" si="2"/>
        <v>0.6</v>
      </c>
    </row>
    <row r="5" spans="1:10" x14ac:dyDescent="0.3">
      <c r="A5">
        <v>2017</v>
      </c>
      <c r="B5">
        <v>6</v>
      </c>
      <c r="C5">
        <v>4</v>
      </c>
      <c r="D5">
        <f t="shared" si="0"/>
        <v>0.6</v>
      </c>
      <c r="E5">
        <v>7</v>
      </c>
      <c r="F5">
        <v>3</v>
      </c>
      <c r="G5">
        <f t="shared" si="1"/>
        <v>0.7</v>
      </c>
      <c r="H5">
        <v>7</v>
      </c>
      <c r="I5">
        <v>3</v>
      </c>
      <c r="J5">
        <f t="shared" si="2"/>
        <v>0.7</v>
      </c>
    </row>
    <row r="6" spans="1:10" x14ac:dyDescent="0.3">
      <c r="A6">
        <v>2018</v>
      </c>
      <c r="B6">
        <v>1</v>
      </c>
      <c r="C6">
        <v>6</v>
      </c>
      <c r="D6">
        <f t="shared" si="0"/>
        <v>0.14285714285714285</v>
      </c>
      <c r="E6">
        <v>8</v>
      </c>
      <c r="F6">
        <v>2</v>
      </c>
      <c r="G6">
        <f t="shared" si="1"/>
        <v>0.8</v>
      </c>
      <c r="H6">
        <v>7</v>
      </c>
      <c r="I6">
        <v>3</v>
      </c>
      <c r="J6">
        <f t="shared" si="2"/>
        <v>0.7</v>
      </c>
    </row>
    <row r="7" spans="1:10" x14ac:dyDescent="0.3">
      <c r="A7">
        <v>2019</v>
      </c>
      <c r="B7">
        <v>2</v>
      </c>
      <c r="C7">
        <v>5</v>
      </c>
      <c r="D7">
        <f t="shared" si="0"/>
        <v>0.2857142857142857</v>
      </c>
      <c r="E7">
        <v>6</v>
      </c>
      <c r="F7">
        <v>3</v>
      </c>
      <c r="G7">
        <f t="shared" si="1"/>
        <v>0.66666666666666663</v>
      </c>
      <c r="H7">
        <v>7</v>
      </c>
      <c r="I7">
        <v>3</v>
      </c>
      <c r="J7">
        <f t="shared" si="2"/>
        <v>0.7</v>
      </c>
    </row>
    <row r="8" spans="1:10" x14ac:dyDescent="0.3">
      <c r="A8">
        <v>2020</v>
      </c>
      <c r="B8" s="3">
        <v>1</v>
      </c>
      <c r="C8">
        <v>6</v>
      </c>
      <c r="D8">
        <f t="shared" si="0"/>
        <v>0.14285714285714285</v>
      </c>
      <c r="E8">
        <v>4</v>
      </c>
      <c r="F8">
        <v>4</v>
      </c>
      <c r="G8">
        <f t="shared" si="1"/>
        <v>0.5</v>
      </c>
      <c r="H8">
        <v>7</v>
      </c>
      <c r="I8">
        <v>1</v>
      </c>
      <c r="J8">
        <f t="shared" si="2"/>
        <v>0.875</v>
      </c>
    </row>
    <row r="9" spans="1:10" x14ac:dyDescent="0.3">
      <c r="A9">
        <v>2021</v>
      </c>
      <c r="B9" s="3">
        <v>3</v>
      </c>
      <c r="C9">
        <v>6</v>
      </c>
      <c r="D9">
        <f t="shared" si="0"/>
        <v>0.33333333333333331</v>
      </c>
      <c r="E9">
        <v>7</v>
      </c>
      <c r="F9">
        <v>5</v>
      </c>
      <c r="G9">
        <f t="shared" si="1"/>
        <v>0.58333333333333337</v>
      </c>
      <c r="H9">
        <v>7</v>
      </c>
      <c r="I9">
        <v>3</v>
      </c>
      <c r="J9">
        <f t="shared" si="2"/>
        <v>0.7</v>
      </c>
    </row>
    <row r="10" spans="1:10" x14ac:dyDescent="0.3">
      <c r="A10" t="s">
        <v>102</v>
      </c>
      <c r="B10">
        <f>AVERAGE(Table3[Vikings Wins])</f>
        <v>2.375</v>
      </c>
      <c r="C10">
        <f>AVERAGE(Table3[Vikings Loss])</f>
        <v>5.375</v>
      </c>
      <c r="D10">
        <f>SUM(Table3[Vikings Wins])/(SUM(Table3[Vikings Loss])+SUM(Table3[Vikings Wins]))</f>
        <v>0.30645161290322581</v>
      </c>
      <c r="E10">
        <f>AVERAGE(Table3[Super Bowl Winner Wins])</f>
        <v>7.125</v>
      </c>
      <c r="F10">
        <f>AVERAGE(Table3[Super Bowl Winner Losses])</f>
        <v>2.875</v>
      </c>
      <c r="G10">
        <f>SUM(Table3[Super Bowl Winner Wins])/(SUM(Table3[Super Bowl Winner Losses])+SUM(Table3[Super Bowl Winner Wins]))</f>
        <v>0.71250000000000002</v>
      </c>
      <c r="H10">
        <f>AVERAGE(Table3[Super Bowl Runner Up Wins])</f>
        <v>6.625</v>
      </c>
      <c r="I10">
        <f>AVERAGE(Table3[Super Bowl Runner Up Losses])</f>
        <v>2.75</v>
      </c>
      <c r="J10">
        <f>SUM(Table3[Super Bowl Runner Up Wins])/(SUM(Table3[Super Bowl Runner Up Wins]) + SUM(Table3[Super Bowl Runner Up Losses]))</f>
        <v>0.70666666666666667</v>
      </c>
    </row>
    <row r="12" spans="1:10" x14ac:dyDescent="0.3">
      <c r="D12">
        <f xml:space="preserve"> (D5 * D5 * D5)/8</f>
        <v>2.7E-2</v>
      </c>
    </row>
    <row r="13" spans="1:10" x14ac:dyDescent="0.3">
      <c r="D13">
        <f>Table3[[#Totals],[Vikings over 0.500 Win %]] * Table3[[#Totals],[Vikings over 0.500 Win %]] * Table3[[#Totals],[Vikings over 0.500 Win %]]*Table3[[#Totals],[Vikings over 0.500 Win %]]/4</f>
        <v>2.2048936894775539E-3</v>
      </c>
    </row>
    <row r="14" spans="1:10" x14ac:dyDescent="0.3">
      <c r="D14">
        <f>SUM(D12:D13)</f>
        <v>2.9204893689477554E-2</v>
      </c>
    </row>
    <row r="15" spans="1:10" x14ac:dyDescent="0.3">
      <c r="D15">
        <f>1/D14</f>
        <v>34.240836848527799</v>
      </c>
    </row>
    <row r="18" spans="1:2" x14ac:dyDescent="0.3">
      <c r="A18" t="s">
        <v>97</v>
      </c>
      <c r="B18" t="s">
        <v>98</v>
      </c>
    </row>
    <row r="19" spans="1:2" x14ac:dyDescent="0.3">
      <c r="A19" t="s">
        <v>64</v>
      </c>
      <c r="B19" s="1">
        <v>0</v>
      </c>
    </row>
    <row r="20" spans="1:2" x14ac:dyDescent="0.3">
      <c r="A20" t="s">
        <v>60</v>
      </c>
      <c r="B20" s="1">
        <v>0.14285714285714285</v>
      </c>
    </row>
    <row r="21" spans="1:2" x14ac:dyDescent="0.3">
      <c r="A21" t="s">
        <v>62</v>
      </c>
      <c r="B21" s="9">
        <v>0.14285714285714285</v>
      </c>
    </row>
    <row r="22" spans="1:2" x14ac:dyDescent="0.3">
      <c r="A22" t="s">
        <v>65</v>
      </c>
      <c r="B22" s="1">
        <v>0.2857142857142857</v>
      </c>
    </row>
    <row r="23" spans="1:2" x14ac:dyDescent="0.3">
      <c r="A23" t="s">
        <v>61</v>
      </c>
      <c r="B23" s="1">
        <v>0.2857142857142857</v>
      </c>
    </row>
    <row r="24" spans="1:2" x14ac:dyDescent="0.3">
      <c r="A24" t="s">
        <v>63</v>
      </c>
      <c r="B24" s="1">
        <v>0.33333333333333331</v>
      </c>
    </row>
    <row r="25" spans="1:2" x14ac:dyDescent="0.3">
      <c r="A25" t="s">
        <v>66</v>
      </c>
      <c r="B25" s="1">
        <v>0.44444444444444442</v>
      </c>
    </row>
    <row r="26" spans="1:2" x14ac:dyDescent="0.3">
      <c r="A26" t="s">
        <v>109</v>
      </c>
      <c r="B26" s="1">
        <v>0.5</v>
      </c>
    </row>
    <row r="27" spans="1:2" ht="15" thickBot="1" x14ac:dyDescent="0.35">
      <c r="A27" t="s">
        <v>67</v>
      </c>
      <c r="B27" s="1">
        <v>0.6</v>
      </c>
    </row>
    <row r="28" spans="1:2" ht="15" thickTop="1" x14ac:dyDescent="0.3">
      <c r="A28" t="s">
        <v>111</v>
      </c>
      <c r="B28" s="10">
        <v>0.706666666666667</v>
      </c>
    </row>
    <row r="29" spans="1:2" x14ac:dyDescent="0.3">
      <c r="A29" t="s">
        <v>110</v>
      </c>
      <c r="B29" s="1">
        <v>0.71250000000000002</v>
      </c>
    </row>
  </sheetData>
  <phoneticPr fontId="2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CB26-7251-4632-BF03-44BB1554340A}">
  <dimension ref="A1:P22"/>
  <sheetViews>
    <sheetView topLeftCell="B1" zoomScale="83" zoomScaleNormal="83" workbookViewId="0">
      <selection activeCell="L36" sqref="L36"/>
    </sheetView>
  </sheetViews>
  <sheetFormatPr defaultRowHeight="14.4" x14ac:dyDescent="0.3"/>
  <cols>
    <col min="1" max="1" width="19.33203125" bestFit="1" customWidth="1"/>
    <col min="2" max="2" width="16.5546875" bestFit="1" customWidth="1"/>
    <col min="3" max="3" width="23.44140625" bestFit="1" customWidth="1"/>
    <col min="4" max="5" width="23.44140625" customWidth="1"/>
    <col min="6" max="6" width="12.77734375" bestFit="1" customWidth="1"/>
    <col min="7" max="11" width="12.77734375" customWidth="1"/>
    <col min="12" max="12" width="19.33203125" bestFit="1" customWidth="1"/>
    <col min="13" max="13" width="9" bestFit="1" customWidth="1"/>
    <col min="14" max="14" width="18.77734375" bestFit="1" customWidth="1"/>
  </cols>
  <sheetData>
    <row r="1" spans="1:16" x14ac:dyDescent="0.3">
      <c r="B1" t="s">
        <v>52</v>
      </c>
      <c r="C1" t="s">
        <v>112</v>
      </c>
      <c r="D1" t="s">
        <v>113</v>
      </c>
      <c r="E1" t="s">
        <v>114</v>
      </c>
      <c r="F1" t="s">
        <v>97</v>
      </c>
      <c r="G1" t="s">
        <v>100</v>
      </c>
      <c r="H1" t="s">
        <v>122</v>
      </c>
      <c r="I1" t="s">
        <v>123</v>
      </c>
      <c r="J1" t="s">
        <v>115</v>
      </c>
      <c r="K1" t="s">
        <v>116</v>
      </c>
      <c r="L1" t="s">
        <v>117</v>
      </c>
      <c r="M1" t="s">
        <v>53</v>
      </c>
      <c r="O1" t="s">
        <v>96</v>
      </c>
    </row>
    <row r="2" spans="1:16" x14ac:dyDescent="0.3">
      <c r="A2" t="s">
        <v>53</v>
      </c>
      <c r="B2">
        <v>2014</v>
      </c>
      <c r="C2">
        <v>5.7</v>
      </c>
      <c r="D2" s="5">
        <v>6.5</v>
      </c>
      <c r="E2">
        <v>6.6</v>
      </c>
      <c r="F2">
        <f>AVERAGE(Table2[[#This Row],[Super Bowl Winner NY/A]:[Super Bowl Runner Up NY/A]])</f>
        <v>6.55</v>
      </c>
      <c r="G2">
        <v>57.9</v>
      </c>
      <c r="H2">
        <v>59.59</v>
      </c>
      <c r="I2">
        <v>48.56</v>
      </c>
      <c r="J2">
        <v>5.2</v>
      </c>
      <c r="K2">
        <v>5.5</v>
      </c>
      <c r="L2">
        <v>5.9</v>
      </c>
      <c r="M2" t="s">
        <v>94</v>
      </c>
      <c r="N2">
        <f>AVERAGE(C2:C9)</f>
        <v>6.4625000000000012</v>
      </c>
      <c r="O2" t="s">
        <v>94</v>
      </c>
      <c r="P2">
        <f>AVERAGE(C6:C9)</f>
        <v>6.8</v>
      </c>
    </row>
    <row r="3" spans="1:16" x14ac:dyDescent="0.3">
      <c r="B3">
        <v>2015</v>
      </c>
      <c r="C3">
        <v>5.9</v>
      </c>
      <c r="D3" s="5">
        <v>6.2</v>
      </c>
      <c r="E3">
        <v>6.7</v>
      </c>
      <c r="F3">
        <f>AVERAGE(Table2[[#This Row],[Super Bowl Winner NY/A]:[Super Bowl Runner Up NY/A]])</f>
        <v>6.45</v>
      </c>
      <c r="G3">
        <v>51.12</v>
      </c>
      <c r="H3">
        <v>59.78</v>
      </c>
      <c r="I3">
        <v>50.16</v>
      </c>
      <c r="J3">
        <v>5.2</v>
      </c>
      <c r="K3">
        <v>5.2</v>
      </c>
      <c r="L3">
        <v>5.5</v>
      </c>
      <c r="M3" t="s">
        <v>93</v>
      </c>
      <c r="N3">
        <f>AVERAGE(G2:G9)</f>
        <v>56.777500000000003</v>
      </c>
      <c r="O3" t="s">
        <v>93</v>
      </c>
      <c r="P3">
        <f>MEDIAN(G6:G9)</f>
        <v>56.394999999999996</v>
      </c>
    </row>
    <row r="4" spans="1:16" x14ac:dyDescent="0.3">
      <c r="B4">
        <v>2016</v>
      </c>
      <c r="C4">
        <v>6.1</v>
      </c>
      <c r="D4">
        <v>7.5</v>
      </c>
      <c r="E4">
        <v>8.1999999999999993</v>
      </c>
      <c r="F4">
        <f>AVERAGE(Table2[[#This Row],[Super Bowl Winner NY/A]:[Super Bowl Runner Up NY/A]])</f>
        <v>7.85</v>
      </c>
      <c r="G4">
        <v>62.23</v>
      </c>
      <c r="H4">
        <v>56.41</v>
      </c>
      <c r="I4">
        <v>57.73</v>
      </c>
      <c r="J4">
        <v>5</v>
      </c>
      <c r="K4">
        <v>5.9</v>
      </c>
      <c r="L4">
        <v>6.7</v>
      </c>
      <c r="M4" t="s">
        <v>118</v>
      </c>
      <c r="N4">
        <f>AVERAGE(J2:J9)</f>
        <v>5.4875000000000007</v>
      </c>
      <c r="O4" t="s">
        <v>118</v>
      </c>
      <c r="P4">
        <f>AVERAGE(J6:J9)</f>
        <v>5.7749999999999995</v>
      </c>
    </row>
    <row r="5" spans="1:16" x14ac:dyDescent="0.3">
      <c r="A5" t="s">
        <v>76</v>
      </c>
      <c r="B5">
        <v>2017</v>
      </c>
      <c r="C5" s="5">
        <v>6.8</v>
      </c>
      <c r="D5">
        <v>6.2</v>
      </c>
      <c r="E5">
        <v>7.1</v>
      </c>
      <c r="F5">
        <f>AVERAGE(Table2[[#This Row],[Super Bowl Winner NY/A]:[Super Bowl Runner Up NY/A]])</f>
        <v>6.65</v>
      </c>
      <c r="G5" s="5">
        <v>54.07</v>
      </c>
      <c r="H5">
        <v>55.78</v>
      </c>
      <c r="I5">
        <v>59.78</v>
      </c>
      <c r="J5" s="5">
        <v>5.4</v>
      </c>
      <c r="K5">
        <v>5.6</v>
      </c>
      <c r="L5">
        <v>6</v>
      </c>
      <c r="M5" t="s">
        <v>120</v>
      </c>
      <c r="N5">
        <f>((M10+M18)/2)-N2</f>
        <v>0.6374999999999984</v>
      </c>
      <c r="O5" t="s">
        <v>120</v>
      </c>
      <c r="P5">
        <f>((O10+O18)/2)-P2</f>
        <v>0.52499999999999947</v>
      </c>
    </row>
    <row r="6" spans="1:16" x14ac:dyDescent="0.3">
      <c r="B6">
        <v>2018</v>
      </c>
      <c r="C6" s="4">
        <v>6.2</v>
      </c>
      <c r="D6">
        <v>7.2</v>
      </c>
      <c r="E6">
        <v>7.5</v>
      </c>
      <c r="F6">
        <f>AVERAGE(Table2[[#This Row],[Super Bowl Winner NY/A]:[Super Bowl Runner Up NY/A]])</f>
        <v>7.35</v>
      </c>
      <c r="G6" s="4">
        <v>64.41</v>
      </c>
      <c r="H6">
        <v>54.91</v>
      </c>
      <c r="I6">
        <v>56.41</v>
      </c>
      <c r="J6" s="4">
        <v>5.5</v>
      </c>
      <c r="K6">
        <v>5.9</v>
      </c>
      <c r="L6">
        <v>6.2</v>
      </c>
      <c r="M6" t="s">
        <v>124</v>
      </c>
      <c r="N6">
        <f>((M11+M19)/2)-N3</f>
        <v>0.24062500000000142</v>
      </c>
      <c r="O6" t="s">
        <v>124</v>
      </c>
      <c r="P6">
        <f>((O11+O19)/2)-P3</f>
        <v>2.7625000000000028</v>
      </c>
    </row>
    <row r="7" spans="1:16" x14ac:dyDescent="0.3">
      <c r="B7">
        <v>2019</v>
      </c>
      <c r="C7" s="4">
        <v>7.1</v>
      </c>
      <c r="D7">
        <v>7.5</v>
      </c>
      <c r="E7">
        <v>7.4</v>
      </c>
      <c r="F7">
        <f>AVERAGE(Table2[[#This Row],[Super Bowl Winner NY/A]:[Super Bowl Runner Up NY/A]])</f>
        <v>7.45</v>
      </c>
      <c r="G7" s="4">
        <v>51.7</v>
      </c>
      <c r="H7">
        <v>61.43</v>
      </c>
      <c r="I7">
        <v>48.61</v>
      </c>
      <c r="J7" s="4">
        <v>5.7</v>
      </c>
      <c r="K7">
        <v>6.2</v>
      </c>
      <c r="L7">
        <v>6</v>
      </c>
      <c r="M7" t="s">
        <v>121</v>
      </c>
      <c r="N7">
        <f>((M12+M20)/2)-N4</f>
        <v>0.41874999999999929</v>
      </c>
      <c r="O7" t="s">
        <v>121</v>
      </c>
      <c r="P7">
        <f>((O12+O20)/2)-P4</f>
        <v>0.25000000000000089</v>
      </c>
    </row>
    <row r="8" spans="1:16" x14ac:dyDescent="0.3">
      <c r="B8">
        <v>2020</v>
      </c>
      <c r="C8" s="4">
        <v>7.2</v>
      </c>
      <c r="D8">
        <v>7.1</v>
      </c>
      <c r="E8">
        <v>7.4</v>
      </c>
      <c r="F8">
        <f>AVERAGE(Table2[[#This Row],[Super Bowl Winner NY/A]:[Super Bowl Runner Up NY/A]])</f>
        <v>7.25</v>
      </c>
      <c r="G8" s="4">
        <v>54.25</v>
      </c>
      <c r="H8">
        <v>61.78</v>
      </c>
      <c r="I8">
        <v>62.57</v>
      </c>
      <c r="J8" s="4">
        <v>6.2</v>
      </c>
      <c r="K8">
        <v>6</v>
      </c>
      <c r="L8">
        <v>6.3</v>
      </c>
      <c r="M8" t="s">
        <v>125</v>
      </c>
      <c r="N8">
        <f>N7/(AVERAGE(M12,M20))</f>
        <v>7.0899470899470782E-2</v>
      </c>
    </row>
    <row r="9" spans="1:16" x14ac:dyDescent="0.3">
      <c r="B9">
        <v>2021</v>
      </c>
      <c r="C9" s="4">
        <v>6.7</v>
      </c>
      <c r="D9">
        <v>7.3</v>
      </c>
      <c r="E9">
        <v>7.2</v>
      </c>
      <c r="F9">
        <f>AVERAGE(Table2[[#This Row],[Super Bowl Winner NY/A]:[Super Bowl Runner Up NY/A]])</f>
        <v>7.25</v>
      </c>
      <c r="G9" s="4">
        <v>58.54</v>
      </c>
      <c r="H9">
        <v>59.31</v>
      </c>
      <c r="I9">
        <v>59.48</v>
      </c>
      <c r="J9" s="4">
        <v>5.7</v>
      </c>
      <c r="K9">
        <v>5.9</v>
      </c>
      <c r="L9">
        <v>5.7</v>
      </c>
      <c r="M9" t="s">
        <v>78</v>
      </c>
    </row>
    <row r="10" spans="1:16" x14ac:dyDescent="0.3">
      <c r="A10" t="s">
        <v>131</v>
      </c>
      <c r="C10">
        <f>AVERAGE(D6:E9)</f>
        <v>7.3250000000000002</v>
      </c>
      <c r="G10">
        <f>AVERAGE(H6:I9)</f>
        <v>58.0625</v>
      </c>
      <c r="L10" t="s">
        <v>94</v>
      </c>
      <c r="M10">
        <f>AVERAGE(Table2[Super Bowl Winner NY/A])</f>
        <v>6.9375</v>
      </c>
      <c r="N10" t="s">
        <v>94</v>
      </c>
      <c r="O10">
        <f>AVERAGE(D6:D9)</f>
        <v>7.2749999999999995</v>
      </c>
    </row>
    <row r="11" spans="1:16" x14ac:dyDescent="0.3">
      <c r="L11" t="s">
        <v>93</v>
      </c>
      <c r="M11">
        <f>AVERAGE(Table2[Super Bowl Winner Pass %])</f>
        <v>58.623750000000008</v>
      </c>
      <c r="N11" t="s">
        <v>93</v>
      </c>
      <c r="O11">
        <f>MEDIAN(H6:H9)</f>
        <v>60.370000000000005</v>
      </c>
    </row>
    <row r="12" spans="1:16" x14ac:dyDescent="0.3">
      <c r="B12" t="s">
        <v>129</v>
      </c>
      <c r="F12" t="s">
        <v>130</v>
      </c>
      <c r="L12" t="s">
        <v>118</v>
      </c>
      <c r="M12">
        <f>AVERAGE(K2:K9)</f>
        <v>5.7750000000000004</v>
      </c>
      <c r="N12" t="s">
        <v>118</v>
      </c>
      <c r="O12">
        <f>AVERAGE(K6:K9)</f>
        <v>6</v>
      </c>
    </row>
    <row r="13" spans="1:16" x14ac:dyDescent="0.3">
      <c r="B13" t="s">
        <v>97</v>
      </c>
      <c r="C13" t="s">
        <v>98</v>
      </c>
      <c r="D13" t="s">
        <v>99</v>
      </c>
      <c r="F13" t="s">
        <v>101</v>
      </c>
      <c r="G13" t="s">
        <v>127</v>
      </c>
      <c r="H13" t="s">
        <v>119</v>
      </c>
    </row>
    <row r="14" spans="1:16" x14ac:dyDescent="0.3">
      <c r="B14" t="s">
        <v>128</v>
      </c>
      <c r="C14">
        <v>6.8750000000000009</v>
      </c>
      <c r="D14">
        <v>0</v>
      </c>
      <c r="F14" t="s">
        <v>128</v>
      </c>
      <c r="G14">
        <f>AVERAGE(M10,M18)</f>
        <v>7.1</v>
      </c>
      <c r="H14">
        <v>0</v>
      </c>
    </row>
    <row r="15" spans="1:16" x14ac:dyDescent="0.3">
      <c r="B15" t="s">
        <v>53</v>
      </c>
      <c r="C15">
        <v>6.1250000000000009</v>
      </c>
      <c r="D15">
        <f>6.875-C15</f>
        <v>0.74999999999999911</v>
      </c>
      <c r="F15" t="s">
        <v>53</v>
      </c>
      <c r="G15">
        <v>6.4625000000000012</v>
      </c>
      <c r="H15">
        <v>0.63749999999999996</v>
      </c>
    </row>
    <row r="17" spans="12:15" x14ac:dyDescent="0.3">
      <c r="L17" t="s">
        <v>81</v>
      </c>
    </row>
    <row r="18" spans="12:15" x14ac:dyDescent="0.3">
      <c r="L18" t="s">
        <v>94</v>
      </c>
      <c r="M18">
        <f>AVERAGE(Table2[Super Bowl Runner Up NY/A])</f>
        <v>7.2625000000000002</v>
      </c>
      <c r="N18" t="s">
        <v>94</v>
      </c>
      <c r="O18">
        <f>AVERAGE(E6:E9)</f>
        <v>7.375</v>
      </c>
    </row>
    <row r="19" spans="12:15" x14ac:dyDescent="0.3">
      <c r="L19" t="s">
        <v>93</v>
      </c>
      <c r="M19">
        <f>AVERAGE(Table2[Super Bowl Runner Up Pass %])</f>
        <v>55.412500000000001</v>
      </c>
      <c r="N19" t="s">
        <v>93</v>
      </c>
      <c r="O19">
        <f>MEDIAN(I6:I9)</f>
        <v>57.944999999999993</v>
      </c>
    </row>
    <row r="20" spans="12:15" x14ac:dyDescent="0.3">
      <c r="L20" t="s">
        <v>118</v>
      </c>
      <c r="M20">
        <f>AVERAGE(L2:L9)</f>
        <v>6.0374999999999996</v>
      </c>
      <c r="N20" t="s">
        <v>118</v>
      </c>
      <c r="O20">
        <f>AVERAGE(L6:L9)</f>
        <v>6.05</v>
      </c>
    </row>
    <row r="22" spans="12:15" x14ac:dyDescent="0.3">
      <c r="L22" t="s">
        <v>126</v>
      </c>
      <c r="M22">
        <f>N5/AVERAGE(M10,M18)</f>
        <v>8.978873239436598E-2</v>
      </c>
    </row>
  </sheetData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DDBD-7109-4E48-80CD-AC3450F7259D}">
  <dimension ref="A1:I25"/>
  <sheetViews>
    <sheetView topLeftCell="B8" zoomScaleNormal="100" workbookViewId="0">
      <selection activeCell="D34" sqref="D34"/>
    </sheetView>
  </sheetViews>
  <sheetFormatPr defaultRowHeight="14.4" x14ac:dyDescent="0.3"/>
  <cols>
    <col min="1" max="1" width="16.5546875" bestFit="1" customWidth="1"/>
    <col min="2" max="2" width="13.33203125" bestFit="1" customWidth="1"/>
    <col min="3" max="3" width="12.33203125" bestFit="1" customWidth="1"/>
    <col min="4" max="4" width="25.6640625" bestFit="1" customWidth="1"/>
    <col min="5" max="5" width="39.109375" bestFit="1" customWidth="1"/>
    <col min="8" max="8" width="11" bestFit="1" customWidth="1"/>
    <col min="9" max="9" width="10.44140625" customWidth="1"/>
  </cols>
  <sheetData>
    <row r="1" spans="1:9" x14ac:dyDescent="0.3">
      <c r="A1" t="s">
        <v>52</v>
      </c>
      <c r="B1" t="s">
        <v>49</v>
      </c>
      <c r="C1" t="s">
        <v>95</v>
      </c>
      <c r="D1" t="s">
        <v>103</v>
      </c>
    </row>
    <row r="2" spans="1:9" x14ac:dyDescent="0.3">
      <c r="A2" t="s">
        <v>64</v>
      </c>
      <c r="B2">
        <v>343</v>
      </c>
      <c r="C2">
        <v>5515</v>
      </c>
      <c r="D2" s="11">
        <f>B2/(C2/100)</f>
        <v>6.219401631912965</v>
      </c>
      <c r="E2" t="s">
        <v>105</v>
      </c>
      <c r="F2">
        <f>AVERAGE(D2:D9)</f>
        <v>6.2515189727385927</v>
      </c>
      <c r="H2" t="s">
        <v>97</v>
      </c>
      <c r="I2" t="s">
        <v>104</v>
      </c>
    </row>
    <row r="3" spans="1:9" x14ac:dyDescent="0.3">
      <c r="A3" t="s">
        <v>65</v>
      </c>
      <c r="B3">
        <v>302</v>
      </c>
      <c r="C3">
        <v>5507</v>
      </c>
      <c r="D3" s="11">
        <f t="shared" ref="D3:D25" si="0">B3/(C3/100)</f>
        <v>5.4839295442164522</v>
      </c>
      <c r="H3">
        <v>2021</v>
      </c>
      <c r="I3">
        <v>6.5317387304507823</v>
      </c>
    </row>
    <row r="4" spans="1:9" x14ac:dyDescent="0.3">
      <c r="A4" t="s">
        <v>66</v>
      </c>
      <c r="B4">
        <v>307</v>
      </c>
      <c r="C4">
        <v>5038</v>
      </c>
      <c r="D4" s="11">
        <f t="shared" si="0"/>
        <v>6.0936879714172285</v>
      </c>
      <c r="H4">
        <v>2020</v>
      </c>
      <c r="I4">
        <v>7.5492689129052764</v>
      </c>
    </row>
    <row r="5" spans="1:9" x14ac:dyDescent="0.3">
      <c r="A5" t="s">
        <v>67</v>
      </c>
      <c r="B5">
        <v>252</v>
      </c>
      <c r="C5">
        <v>4415</v>
      </c>
      <c r="D5" s="11">
        <f t="shared" si="0"/>
        <v>5.7078142695356737</v>
      </c>
      <c r="H5">
        <v>2019</v>
      </c>
      <c r="I5">
        <v>5.5443732845379694</v>
      </c>
    </row>
    <row r="6" spans="1:9" x14ac:dyDescent="0.3">
      <c r="A6" t="s">
        <v>60</v>
      </c>
      <c r="B6">
        <v>341</v>
      </c>
      <c r="C6">
        <v>4955</v>
      </c>
      <c r="D6" s="11">
        <f t="shared" si="0"/>
        <v>6.8819374369323922</v>
      </c>
      <c r="H6">
        <v>2018</v>
      </c>
      <c r="I6">
        <v>6.8819374369323922</v>
      </c>
    </row>
    <row r="7" spans="1:9" x14ac:dyDescent="0.3">
      <c r="A7" t="s">
        <v>61</v>
      </c>
      <c r="B7">
        <v>303</v>
      </c>
      <c r="C7">
        <v>5465</v>
      </c>
      <c r="D7" s="11">
        <f t="shared" si="0"/>
        <v>5.5443732845379694</v>
      </c>
      <c r="H7">
        <v>2017</v>
      </c>
      <c r="I7">
        <v>5.7078142695356737</v>
      </c>
    </row>
    <row r="8" spans="1:9" x14ac:dyDescent="0.3">
      <c r="A8" t="s">
        <v>62</v>
      </c>
      <c r="B8">
        <v>475</v>
      </c>
      <c r="C8">
        <v>6292</v>
      </c>
      <c r="D8" s="11">
        <f t="shared" si="0"/>
        <v>7.5492689129052764</v>
      </c>
      <c r="H8">
        <v>2016</v>
      </c>
      <c r="I8">
        <v>6.0936879714172285</v>
      </c>
    </row>
    <row r="9" spans="1:9" x14ac:dyDescent="0.3">
      <c r="A9" t="s">
        <v>63</v>
      </c>
      <c r="B9">
        <v>426</v>
      </c>
      <c r="C9">
        <v>6522</v>
      </c>
      <c r="D9" s="11">
        <f t="shared" si="0"/>
        <v>6.5317387304507823</v>
      </c>
      <c r="H9">
        <v>2015</v>
      </c>
      <c r="I9">
        <v>5.4839295442164522</v>
      </c>
    </row>
    <row r="10" spans="1:9" x14ac:dyDescent="0.3">
      <c r="A10" t="s">
        <v>68</v>
      </c>
      <c r="B10">
        <v>313</v>
      </c>
      <c r="C10">
        <v>5506</v>
      </c>
      <c r="D10">
        <f t="shared" si="0"/>
        <v>5.6847075917181256</v>
      </c>
      <c r="E10" t="s">
        <v>106</v>
      </c>
      <c r="F10">
        <f>AVERAGE(D10:D17)</f>
        <v>5.9138000646658346</v>
      </c>
      <c r="H10">
        <v>2014</v>
      </c>
      <c r="I10">
        <v>6.219401631912965</v>
      </c>
    </row>
    <row r="11" spans="1:9" x14ac:dyDescent="0.3">
      <c r="A11" t="s">
        <v>69</v>
      </c>
      <c r="B11">
        <v>296</v>
      </c>
      <c r="C11">
        <v>4530</v>
      </c>
      <c r="D11">
        <f t="shared" si="0"/>
        <v>6.5342163355408394</v>
      </c>
    </row>
    <row r="12" spans="1:9" x14ac:dyDescent="0.3">
      <c r="A12" t="s">
        <v>70</v>
      </c>
      <c r="B12">
        <v>250</v>
      </c>
      <c r="C12">
        <v>5223</v>
      </c>
      <c r="D12">
        <f t="shared" si="0"/>
        <v>4.7865211564235119</v>
      </c>
      <c r="F12">
        <f>AVERAGE(D10:D25)</f>
        <v>6.0807735000873286</v>
      </c>
    </row>
    <row r="13" spans="1:9" x14ac:dyDescent="0.3">
      <c r="A13" t="s">
        <v>71</v>
      </c>
      <c r="B13">
        <v>295</v>
      </c>
      <c r="C13">
        <v>4904</v>
      </c>
      <c r="D13">
        <f t="shared" si="0"/>
        <v>6.0154975530179442</v>
      </c>
    </row>
    <row r="14" spans="1:9" x14ac:dyDescent="0.3">
      <c r="A14" t="s">
        <v>72</v>
      </c>
      <c r="B14">
        <v>325</v>
      </c>
      <c r="C14">
        <v>5746</v>
      </c>
      <c r="D14">
        <f t="shared" si="0"/>
        <v>5.6561085972850682</v>
      </c>
    </row>
    <row r="15" spans="1:9" x14ac:dyDescent="0.3">
      <c r="A15" t="s">
        <v>73</v>
      </c>
      <c r="B15">
        <v>308</v>
      </c>
      <c r="C15">
        <v>5594</v>
      </c>
      <c r="D15">
        <f t="shared" si="0"/>
        <v>5.5058991776903827</v>
      </c>
    </row>
    <row r="16" spans="1:9" x14ac:dyDescent="0.3">
      <c r="A16" t="s">
        <v>75</v>
      </c>
      <c r="B16">
        <v>355</v>
      </c>
      <c r="C16">
        <v>5234</v>
      </c>
      <c r="D16">
        <f t="shared" si="0"/>
        <v>6.7825754680932357</v>
      </c>
    </row>
    <row r="17" spans="1:6" x14ac:dyDescent="0.3">
      <c r="A17" t="s">
        <v>74</v>
      </c>
      <c r="B17">
        <v>372</v>
      </c>
      <c r="C17">
        <v>5863</v>
      </c>
      <c r="D17">
        <f t="shared" si="0"/>
        <v>6.344874637557564</v>
      </c>
    </row>
    <row r="18" spans="1:6" x14ac:dyDescent="0.3">
      <c r="A18" t="s">
        <v>85</v>
      </c>
      <c r="B18">
        <v>254</v>
      </c>
      <c r="C18">
        <v>4274</v>
      </c>
      <c r="D18">
        <f t="shared" si="0"/>
        <v>5.9429106223678048</v>
      </c>
      <c r="E18" t="s">
        <v>107</v>
      </c>
      <c r="F18">
        <f>AVERAGE(D18:D25)</f>
        <v>6.2477469355088227</v>
      </c>
    </row>
    <row r="19" spans="1:6" x14ac:dyDescent="0.3">
      <c r="A19" t="s">
        <v>86</v>
      </c>
      <c r="B19">
        <v>308</v>
      </c>
      <c r="C19">
        <v>5167</v>
      </c>
      <c r="D19">
        <f t="shared" si="0"/>
        <v>5.9609057480162564</v>
      </c>
    </row>
    <row r="20" spans="1:6" x14ac:dyDescent="0.3">
      <c r="A20" t="s">
        <v>92</v>
      </c>
      <c r="B20">
        <v>406</v>
      </c>
      <c r="C20">
        <v>5939</v>
      </c>
      <c r="D20">
        <f t="shared" si="0"/>
        <v>6.8361677050008423</v>
      </c>
    </row>
    <row r="21" spans="1:6" x14ac:dyDescent="0.3">
      <c r="A21" t="s">
        <v>87</v>
      </c>
      <c r="B21">
        <v>296</v>
      </c>
      <c r="C21">
        <v>5856</v>
      </c>
      <c r="D21">
        <f t="shared" si="0"/>
        <v>5.054644808743169</v>
      </c>
      <c r="E21">
        <f>MAX(D10:D25)</f>
        <v>6.8751386116655571</v>
      </c>
    </row>
    <row r="22" spans="1:6" x14ac:dyDescent="0.3">
      <c r="A22" t="s">
        <v>88</v>
      </c>
      <c r="B22">
        <v>384</v>
      </c>
      <c r="C22">
        <v>5737</v>
      </c>
      <c r="D22">
        <f t="shared" si="0"/>
        <v>6.6933937598047759</v>
      </c>
    </row>
    <row r="23" spans="1:6" x14ac:dyDescent="0.3">
      <c r="A23" t="s">
        <v>89</v>
      </c>
      <c r="B23">
        <v>310</v>
      </c>
      <c r="C23">
        <v>4509</v>
      </c>
      <c r="D23">
        <f t="shared" si="0"/>
        <v>6.8751386116655571</v>
      </c>
    </row>
    <row r="24" spans="1:6" x14ac:dyDescent="0.3">
      <c r="A24" t="s">
        <v>90</v>
      </c>
      <c r="B24">
        <v>362</v>
      </c>
      <c r="C24">
        <v>5733</v>
      </c>
      <c r="D24">
        <f t="shared" si="0"/>
        <v>6.3143206000348862</v>
      </c>
    </row>
    <row r="25" spans="1:6" x14ac:dyDescent="0.3">
      <c r="A25" t="s">
        <v>91</v>
      </c>
      <c r="B25">
        <v>376</v>
      </c>
      <c r="C25">
        <v>5964</v>
      </c>
      <c r="D25">
        <f t="shared" si="0"/>
        <v>6.3044936284372906</v>
      </c>
    </row>
  </sheetData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 Wins - Losses Model</vt:lpstr>
      <vt:lpstr>Winning % Scatterplots</vt:lpstr>
      <vt:lpstr>Winning % By Year</vt:lpstr>
      <vt:lpstr>Winning % By Year Over 0.500</vt:lpstr>
      <vt:lpstr>Net Yards Per Pass Attempt</vt:lpstr>
      <vt:lpstr>Points Per 100 Yards Given 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olson</dc:creator>
  <cp:lastModifiedBy>olson</cp:lastModifiedBy>
  <dcterms:created xsi:type="dcterms:W3CDTF">2022-10-18T15:55:18Z</dcterms:created>
  <dcterms:modified xsi:type="dcterms:W3CDTF">2022-10-25T20:45:34Z</dcterms:modified>
</cp:coreProperties>
</file>