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ke13/Downloads/"/>
    </mc:Choice>
  </mc:AlternateContent>
  <xr:revisionPtr revIDLastSave="0" documentId="13_ncr:1_{F7E979C8-8395-0C4E-9C64-3A5B689DF775}" xr6:coauthVersionLast="47" xr6:coauthVersionMax="47" xr10:uidLastSave="{00000000-0000-0000-0000-000000000000}"/>
  <bookViews>
    <workbookView xWindow="0" yWindow="760" windowWidth="29040" windowHeight="15840" xr2:uid="{00000000-000D-0000-FFFF-FFFF00000000}"/>
  </bookViews>
  <sheets>
    <sheet name="ТС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1" l="1"/>
  <c r="E30" i="1"/>
  <c r="D30" i="1"/>
  <c r="C30" i="1" s="1"/>
  <c r="M26" i="1"/>
  <c r="M24" i="1"/>
  <c r="M23" i="1"/>
  <c r="AC18" i="1"/>
  <c r="J17" i="1"/>
  <c r="I17" i="1"/>
  <c r="H17" i="1"/>
  <c r="D9" i="1" s="1"/>
  <c r="F14" i="1"/>
  <c r="E14" i="1"/>
  <c r="D14" i="1"/>
  <c r="C14" i="1"/>
  <c r="F13" i="1"/>
  <c r="F15" i="1" s="1"/>
  <c r="F16" i="1" s="1"/>
  <c r="E13" i="1"/>
  <c r="E15" i="1" s="1"/>
  <c r="E16" i="1" s="1"/>
  <c r="D13" i="1"/>
  <c r="D15" i="1" s="1"/>
  <c r="D16" i="1" s="1"/>
  <c r="C13" i="1"/>
  <c r="C15" i="1" s="1"/>
  <c r="C16" i="1" s="1"/>
  <c r="J12" i="1"/>
  <c r="F12" i="1"/>
  <c r="E12" i="1"/>
  <c r="F9" i="1"/>
  <c r="E9" i="1"/>
  <c r="E28" i="1" l="1"/>
  <c r="E31" i="1" s="1"/>
  <c r="E17" i="1"/>
  <c r="E18" i="1" s="1"/>
  <c r="E27" i="1" s="1"/>
  <c r="D17" i="1"/>
  <c r="D18" i="1" s="1"/>
  <c r="D27" i="1" s="1"/>
  <c r="F17" i="1"/>
  <c r="F18" i="1" s="1"/>
  <c r="F27" i="1" s="1"/>
  <c r="F28" i="1" s="1"/>
  <c r="F31" i="1" s="1"/>
  <c r="AA18" i="1"/>
  <c r="M25" i="1" s="1"/>
  <c r="AB18" i="1"/>
  <c r="D12" i="1"/>
  <c r="M21" i="1"/>
  <c r="I12" i="1"/>
  <c r="D28" i="1" l="1"/>
  <c r="D31" i="1" s="1"/>
  <c r="C31" i="1" s="1"/>
  <c r="H31" i="1" s="1"/>
  <c r="H12" i="1"/>
  <c r="M22" i="1" s="1"/>
  <c r="M27" i="1" s="1"/>
</calcChain>
</file>

<file path=xl/sharedStrings.xml><?xml version="1.0" encoding="utf-8"?>
<sst xmlns="http://schemas.openxmlformats.org/spreadsheetml/2006/main" count="69" uniqueCount="51">
  <si>
    <t>Наименование</t>
  </si>
  <si>
    <t>CHEVROLET LACETTI</t>
  </si>
  <si>
    <t>Параметры  сравнения</t>
  </si>
  <si>
    <t>Объект оценки</t>
  </si>
  <si>
    <t>Объект №1</t>
  </si>
  <si>
    <t>Объект №2</t>
  </si>
  <si>
    <t>Объект №3</t>
  </si>
  <si>
    <t>Цена предложение, Сум</t>
  </si>
  <si>
    <t>Условия финансирования</t>
  </si>
  <si>
    <t>Потребительское кредитование</t>
  </si>
  <si>
    <t>Купля-продажа. Прямое финансирование</t>
  </si>
  <si>
    <t>Корректировка, %</t>
  </si>
  <si>
    <t>Разница цена/корректировка</t>
  </si>
  <si>
    <t>Курс доллара</t>
  </si>
  <si>
    <t>Разница аналогов (макс)</t>
  </si>
  <si>
    <t xml:space="preserve">Скорректированная стоимость, сум </t>
  </si>
  <si>
    <t>Год выпуска</t>
  </si>
  <si>
    <t>Пробег, тыс.км</t>
  </si>
  <si>
    <t>Функция, зависящая от возраста и пробега автомобиля</t>
  </si>
  <si>
    <t>Физический износ в зависимости от года периода эксплуатации и пробега, %</t>
  </si>
  <si>
    <t xml:space="preserve">Для быстрого заполнения </t>
  </si>
  <si>
    <t>Оригинал</t>
  </si>
  <si>
    <t>НЕ ТРОГАТЬ! ВЫЧИСЛЕНИЯ ДЛЯ ФОРМУЛ</t>
  </si>
  <si>
    <t>Коэффициент корректировки</t>
  </si>
  <si>
    <t>Пробег</t>
  </si>
  <si>
    <t>Объект 1 - Объект 2</t>
  </si>
  <si>
    <t>Объект 1 - Объект 3</t>
  </si>
  <si>
    <t>Объект 2 - Объект 3</t>
  </si>
  <si>
    <t>Техническое состояние</t>
  </si>
  <si>
    <t>Технически исправное</t>
  </si>
  <si>
    <t>Аналогично</t>
  </si>
  <si>
    <t>ЕСЛИ РАЗНИЦА РАВНА 1, ЗНАЧИТ СТОИМОСТЬ ДВУХ/ТРЕХ АНАЛОГОВ ОДИНАКОВАЯ. НИЧЕГО НЕ МЕНЯТЬ</t>
  </si>
  <si>
    <t>Комплектация</t>
  </si>
  <si>
    <t>АКПП</t>
  </si>
  <si>
    <t>Вставлены ли все данные?</t>
  </si>
  <si>
    <t>Верно ли указана корректировка?</t>
  </si>
  <si>
    <t>Наличие дополнительных устройств</t>
  </si>
  <si>
    <t>Нет</t>
  </si>
  <si>
    <t>Вставлен ли номер машины?</t>
  </si>
  <si>
    <t>Одинаковые ли года выпуска? (у аналогов и объекта оценки)</t>
  </si>
  <si>
    <t>Корректировка на согласование цены</t>
  </si>
  <si>
    <t>Возможен торг</t>
  </si>
  <si>
    <t>Разница аналогов не превышает допустимое значение?</t>
  </si>
  <si>
    <t>Указана ли коробка передач и наличие ГБО?</t>
  </si>
  <si>
    <t>Общая величина корректировок, %</t>
  </si>
  <si>
    <t>Готово к отчету?</t>
  </si>
  <si>
    <t>Количество корректировок</t>
  </si>
  <si>
    <t>Удельный вес</t>
  </si>
  <si>
    <t>Стоимость, Сум</t>
  </si>
  <si>
    <t>USD</t>
  </si>
  <si>
    <t>Гос номер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</si>
</sst>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#,##0.0000"/>
    <numFmt numFmtId="166" formatCode="0.0000"/>
    <numFmt numFmtId="167" formatCode="_-* #,##0_р_._-;\-* #,##0_р_._-;_-* &quot;-&quot;??_р_._-;_-@_-"/>
    <numFmt numFmtId="168" formatCode="#,##0.000"/>
  </numFmts>
  <fonts count="9">
    <font>
      <sz val="10"/>
      <color rgb="FF000000"/>
      <name val="Arial Cy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1"/>
      <color rgb="FF000000"/>
      <name val="Calibri"/>
      <family val="2"/>
    </font>
    <font>
      <b/>
      <sz val="16"/>
      <color rgb="FF000000"/>
      <name val="Arial Cyr"/>
    </font>
    <font>
      <b/>
      <sz val="14"/>
      <color rgb="FF000000"/>
      <name val="Arial Cyr"/>
    </font>
    <font>
      <b/>
      <sz val="11"/>
      <color rgb="FFFF0000"/>
      <name val="Times New Roman"/>
      <family val="1"/>
    </font>
    <font>
      <b/>
      <sz val="11"/>
      <color rgb="FF000000"/>
      <name val="Arial Cyr"/>
    </font>
  </fonts>
  <fills count="12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4" tint="0.79998168889431442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0" xfId="0" applyFont="1"/>
    <xf numFmtId="3" fontId="3" fillId="0" borderId="0" xfId="0" applyNumberFormat="1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3" fillId="5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/>
    </xf>
    <xf numFmtId="3" fontId="3" fillId="5" borderId="0" xfId="0" applyNumberFormat="1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68" fontId="1" fillId="8" borderId="1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167" fontId="1" fillId="9" borderId="1" xfId="0" applyNumberFormat="1" applyFont="1" applyFill="1" applyBorder="1" applyAlignment="1">
      <alignment horizontal="center" vertical="center"/>
    </xf>
    <xf numFmtId="3" fontId="0" fillId="10" borderId="1" xfId="0" applyNumberFormat="1" applyFill="1" applyBorder="1" applyAlignment="1">
      <alignment horizontal="center" vertical="center"/>
    </xf>
    <xf numFmtId="4" fontId="1" fillId="11" borderId="1" xfId="0" applyNumberFormat="1" applyFont="1" applyFill="1" applyBorder="1" applyAlignment="1">
      <alignment horizontal="center" vertical="center" wrapText="1"/>
    </xf>
    <xf numFmtId="1" fontId="1" fillId="11" borderId="1" xfId="0" applyNumberFormat="1" applyFont="1" applyFill="1" applyBorder="1" applyAlignment="1">
      <alignment horizontal="center" vertical="center" wrapText="1"/>
    </xf>
    <xf numFmtId="164" fontId="1" fillId="11" borderId="1" xfId="0" applyNumberFormat="1" applyFont="1" applyFill="1" applyBorder="1" applyAlignment="1">
      <alignment horizontal="center" vertical="center" wrapText="1"/>
    </xf>
    <xf numFmtId="2" fontId="2" fillId="11" borderId="1" xfId="0" applyNumberFormat="1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/>
    </xf>
    <xf numFmtId="0" fontId="8" fillId="0" borderId="1" xfId="0" applyFont="1" applyBorder="1" applyAlignment="1">
      <alignment horizont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7" fontId="6" fillId="0" borderId="1" xfId="0" applyNumberFormat="1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1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3" xfId="0" applyBorder="1"/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3"/>
  <sheetViews>
    <sheetView tabSelected="1" zoomScale="80" zoomScaleNormal="80" workbookViewId="0"/>
  </sheetViews>
  <sheetFormatPr baseColWidth="10" defaultColWidth="8.83203125" defaultRowHeight="12.75" customHeight="1"/>
  <cols>
    <col min="1" max="1" width="14.1640625" customWidth="1"/>
    <col min="2" max="2" width="34.33203125" customWidth="1"/>
    <col min="3" max="3" width="19.5" customWidth="1"/>
    <col min="4" max="4" width="15.5" customWidth="1"/>
    <col min="5" max="5" width="16.1640625" customWidth="1"/>
    <col min="6" max="6" width="16.83203125" customWidth="1"/>
    <col min="7" max="7" width="17.5" customWidth="1"/>
    <col min="8" max="8" width="12.6640625" customWidth="1"/>
    <col min="9" max="9" width="13.1640625" customWidth="1"/>
    <col min="10" max="10" width="14" customWidth="1"/>
    <col min="11" max="11" width="14.33203125" customWidth="1"/>
    <col min="12" max="12" width="15.5" customWidth="1"/>
    <col min="13" max="13" width="28.83203125" customWidth="1"/>
    <col min="14" max="14" width="18.83203125" customWidth="1"/>
    <col min="15" max="15" width="14.5" customWidth="1"/>
    <col min="16" max="16" width="15.33203125" customWidth="1"/>
    <col min="17" max="17" width="17.33203125" customWidth="1"/>
    <col min="18" max="18" width="16.5" customWidth="1"/>
    <col min="19" max="19" width="18" customWidth="1"/>
    <col min="25" max="25" width="23.5" customWidth="1"/>
    <col min="27" max="27" width="29.6640625" customWidth="1"/>
    <col min="28" max="28" width="31" customWidth="1"/>
    <col min="29" max="29" width="27.1640625" customWidth="1"/>
  </cols>
  <sheetData>
    <row r="1" spans="1:29" ht="15" customHeight="1">
      <c r="A1" s="14" t="s">
        <v>50</v>
      </c>
      <c r="B1" s="14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22"/>
    </row>
    <row r="2" spans="1:29" ht="15" customHeight="1">
      <c r="A2" s="23"/>
      <c r="B2" s="40" t="s">
        <v>1</v>
      </c>
      <c r="C2" s="39"/>
      <c r="D2" s="29"/>
      <c r="E2" s="29"/>
      <c r="F2" s="30"/>
      <c r="G2" s="30"/>
      <c r="H2" s="36"/>
      <c r="I2" s="36"/>
      <c r="J2" s="36"/>
      <c r="K2" s="61"/>
      <c r="L2" s="61"/>
      <c r="M2" s="31"/>
      <c r="N2" s="30"/>
      <c r="O2" s="30"/>
      <c r="P2" s="32"/>
      <c r="Q2" s="36"/>
      <c r="R2" s="36"/>
      <c r="S2" s="29"/>
    </row>
    <row r="3" spans="1:29" ht="15" customHeight="1">
      <c r="A3" s="27"/>
      <c r="B3" s="22"/>
      <c r="C3" s="28"/>
      <c r="D3" s="29"/>
      <c r="E3" s="29"/>
      <c r="F3" s="30"/>
      <c r="G3" s="30"/>
      <c r="H3" s="36"/>
      <c r="I3" s="36"/>
      <c r="J3" s="36"/>
      <c r="K3" s="61"/>
      <c r="L3" s="62"/>
      <c r="M3" s="31"/>
      <c r="N3" s="30"/>
      <c r="O3" s="30"/>
      <c r="P3" s="32"/>
      <c r="Q3" s="36"/>
      <c r="R3" s="36"/>
      <c r="S3" s="29"/>
    </row>
    <row r="4" spans="1:29" ht="15" customHeight="1">
      <c r="A4" s="16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9"/>
      <c r="P4" s="29"/>
      <c r="Q4" s="38"/>
    </row>
    <row r="5" spans="1:29" ht="1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9"/>
      <c r="N5" s="16"/>
      <c r="O5" s="16"/>
      <c r="P5" s="16"/>
      <c r="Q5" s="16"/>
    </row>
    <row r="6" spans="1:29" ht="15" customHeight="1">
      <c r="A6" s="16"/>
      <c r="B6" s="16"/>
      <c r="C6" s="16"/>
      <c r="D6" s="16"/>
      <c r="E6" s="16"/>
      <c r="F6" s="13"/>
      <c r="G6" s="16"/>
      <c r="H6" s="16"/>
      <c r="I6" s="17"/>
      <c r="J6" s="19"/>
      <c r="L6" s="16"/>
      <c r="M6" s="16"/>
      <c r="N6" s="16"/>
      <c r="O6" s="16"/>
      <c r="P6" s="16"/>
      <c r="Q6" s="16"/>
    </row>
    <row r="7" spans="1:29" ht="1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N7" s="16"/>
      <c r="O7" s="16"/>
      <c r="P7" s="16"/>
      <c r="Q7" s="16"/>
      <c r="R7" s="16"/>
      <c r="S7" s="16"/>
    </row>
    <row r="8" spans="1:29" ht="15" customHeight="1">
      <c r="A8" s="16"/>
      <c r="B8" s="15" t="s">
        <v>2</v>
      </c>
      <c r="C8" s="15" t="s">
        <v>3</v>
      </c>
      <c r="D8" s="15" t="s">
        <v>4</v>
      </c>
      <c r="E8" s="15" t="s">
        <v>5</v>
      </c>
      <c r="F8" s="15" t="s">
        <v>6</v>
      </c>
      <c r="H8" s="16"/>
      <c r="I8" s="16"/>
      <c r="J8" s="16"/>
      <c r="L8" s="16"/>
      <c r="M8" s="16"/>
      <c r="N8" s="16"/>
      <c r="O8" s="16"/>
      <c r="P8" s="16"/>
      <c r="Q8" s="16"/>
      <c r="R8" s="16"/>
      <c r="S8" s="16"/>
    </row>
    <row r="9" spans="1:29" ht="15" customHeight="1">
      <c r="A9" s="16"/>
      <c r="B9" s="1" t="s">
        <v>7</v>
      </c>
      <c r="C9" s="1"/>
      <c r="D9" s="10">
        <f>H17</f>
        <v>153378488</v>
      </c>
      <c r="E9" s="10">
        <f>I17</f>
        <v>157889620</v>
      </c>
      <c r="F9" s="10">
        <f>J17</f>
        <v>157889620</v>
      </c>
      <c r="G9" s="16"/>
      <c r="L9" s="16"/>
      <c r="M9" s="16"/>
      <c r="N9" s="16"/>
      <c r="O9" s="16"/>
      <c r="P9" s="16"/>
      <c r="Q9" s="16"/>
      <c r="R9" s="16"/>
      <c r="S9" s="16"/>
    </row>
    <row r="10" spans="1:29" ht="45" customHeight="1">
      <c r="A10" s="16"/>
      <c r="B10" s="1" t="s">
        <v>8</v>
      </c>
      <c r="C10" s="1" t="s">
        <v>9</v>
      </c>
      <c r="D10" s="10" t="s">
        <v>10</v>
      </c>
      <c r="E10" s="10" t="s">
        <v>10</v>
      </c>
      <c r="F10" s="10" t="s">
        <v>10</v>
      </c>
      <c r="G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1:29" ht="15" customHeight="1">
      <c r="A11" s="16"/>
      <c r="B11" s="1" t="s">
        <v>11</v>
      </c>
      <c r="C11" s="1"/>
      <c r="D11" s="58">
        <v>4.5</v>
      </c>
      <c r="E11" s="58">
        <v>4.5</v>
      </c>
      <c r="F11" s="58">
        <v>4.5</v>
      </c>
      <c r="G11" s="16"/>
      <c r="H11" s="72" t="s">
        <v>12</v>
      </c>
      <c r="I11" s="70"/>
      <c r="J11" s="71"/>
      <c r="K11" s="16"/>
      <c r="L11" s="26" t="s">
        <v>13</v>
      </c>
      <c r="M11" s="54" t="s">
        <v>14</v>
      </c>
      <c r="N11" s="16"/>
      <c r="O11" s="16"/>
      <c r="P11" s="16"/>
      <c r="Q11" s="16"/>
      <c r="R11" s="16"/>
      <c r="S11" s="16"/>
    </row>
    <row r="12" spans="1:29" ht="15" customHeight="1">
      <c r="A12" s="16"/>
      <c r="B12" s="1" t="s">
        <v>15</v>
      </c>
      <c r="C12" s="1"/>
      <c r="D12" s="10">
        <f>D9*((100+D11)/100)</f>
        <v>160280519.95999998</v>
      </c>
      <c r="E12" s="10">
        <f>E9*((100+E11)/100)</f>
        <v>164994652.89999998</v>
      </c>
      <c r="F12" s="10">
        <f>F9*((100+F11)/100)</f>
        <v>164994652.89999998</v>
      </c>
      <c r="G12" s="16"/>
      <c r="H12" s="56">
        <f>D12-D9</f>
        <v>6902031.9599999785</v>
      </c>
      <c r="I12" s="56">
        <f>E12-E9</f>
        <v>7105032.8999999762</v>
      </c>
      <c r="J12" s="56">
        <f>F12-F9</f>
        <v>7105032.8999999762</v>
      </c>
      <c r="K12" s="16"/>
      <c r="L12" s="34">
        <v>11277.83</v>
      </c>
      <c r="M12" s="55">
        <v>15000000</v>
      </c>
      <c r="N12" s="16"/>
      <c r="O12" s="16"/>
      <c r="P12" s="16"/>
      <c r="Q12" s="16"/>
      <c r="R12" s="16"/>
      <c r="S12" s="16"/>
    </row>
    <row r="13" spans="1:29" ht="15" customHeight="1">
      <c r="A13" s="16"/>
      <c r="B13" s="1" t="s">
        <v>16</v>
      </c>
      <c r="C13" s="2">
        <f>M18</f>
        <v>2019</v>
      </c>
      <c r="D13" s="58">
        <f>N18</f>
        <v>2019</v>
      </c>
      <c r="E13" s="58">
        <f>O18</f>
        <v>2019</v>
      </c>
      <c r="F13" s="58">
        <f>P18</f>
        <v>2019</v>
      </c>
      <c r="G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29" ht="15" customHeight="1">
      <c r="A14" s="16"/>
      <c r="B14" s="1" t="s">
        <v>17</v>
      </c>
      <c r="C14" s="4">
        <f>M17</f>
        <v>78</v>
      </c>
      <c r="D14" s="59">
        <f>N17</f>
        <v>78</v>
      </c>
      <c r="E14" s="59">
        <f>O17</f>
        <v>77</v>
      </c>
      <c r="F14" s="59">
        <f>P17</f>
        <v>80</v>
      </c>
      <c r="G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29" ht="30" customHeight="1">
      <c r="A15" s="16"/>
      <c r="B15" s="1" t="s">
        <v>18</v>
      </c>
      <c r="C15" s="4">
        <f>0.07*(2022-C13)+(0.0035*C14)</f>
        <v>0.48300000000000004</v>
      </c>
      <c r="D15" s="4">
        <f>0.07*(2022-D13)+(0.0035*D14)</f>
        <v>0.48300000000000004</v>
      </c>
      <c r="E15" s="4">
        <f>0.07*(2022-E13)+(0.0035*E14)</f>
        <v>0.47950000000000004</v>
      </c>
      <c r="F15" s="4">
        <f>0.07*(2022-F13)+(0.0035*F14)</f>
        <v>0.49000000000000005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29" ht="45" customHeight="1">
      <c r="A16" s="16"/>
      <c r="B16" s="1" t="s">
        <v>19</v>
      </c>
      <c r="C16" s="5">
        <f>100*(1-1/POWER(2.718,C15))</f>
        <v>38.303928031393433</v>
      </c>
      <c r="D16" s="5">
        <f>100*(1-1/POWER(2.718,D15))</f>
        <v>38.303928031393433</v>
      </c>
      <c r="E16" s="5">
        <f>100*(1-1/POWER(2.718,E15))</f>
        <v>38.087635917494886</v>
      </c>
      <c r="F16" s="5">
        <f>100*(1-1/POWER(2.718,F15))</f>
        <v>38.734248036157993</v>
      </c>
      <c r="G16" s="16"/>
      <c r="H16" s="41">
        <v>13600</v>
      </c>
      <c r="I16" s="41">
        <v>14000</v>
      </c>
      <c r="J16" s="41">
        <v>14000</v>
      </c>
      <c r="K16" s="16"/>
      <c r="L16" s="44" t="s">
        <v>20</v>
      </c>
      <c r="M16" s="45" t="s">
        <v>21</v>
      </c>
      <c r="N16" s="42" t="s">
        <v>4</v>
      </c>
      <c r="O16" s="42" t="s">
        <v>5</v>
      </c>
      <c r="P16" s="42" t="s">
        <v>6</v>
      </c>
      <c r="Q16" s="16"/>
      <c r="R16" s="16"/>
      <c r="S16" s="16"/>
      <c r="AA16" s="69" t="s">
        <v>22</v>
      </c>
      <c r="AB16" s="70"/>
      <c r="AC16" s="71"/>
    </row>
    <row r="17" spans="1:29" ht="15" customHeight="1">
      <c r="A17" s="16"/>
      <c r="B17" s="1" t="s">
        <v>23</v>
      </c>
      <c r="C17" s="5"/>
      <c r="D17" s="3">
        <f>(100-C16)/(100-D16)</f>
        <v>1</v>
      </c>
      <c r="E17" s="3">
        <f>(1-(C16/100))/(1-(E16/100))</f>
        <v>0.99650647948751714</v>
      </c>
      <c r="F17" s="3">
        <f>(1-(C16/100))/(1-(F16/100))</f>
        <v>1.0070238263788638</v>
      </c>
      <c r="G17" s="16"/>
      <c r="H17" s="41">
        <f>H16*L12</f>
        <v>153378488</v>
      </c>
      <c r="I17" s="41">
        <f>I16*L12</f>
        <v>157889620</v>
      </c>
      <c r="J17" s="41">
        <f>J16*L12</f>
        <v>157889620</v>
      </c>
      <c r="L17" s="44" t="s">
        <v>24</v>
      </c>
      <c r="M17" s="46">
        <v>78</v>
      </c>
      <c r="N17" s="43">
        <v>78</v>
      </c>
      <c r="O17" s="43">
        <v>77</v>
      </c>
      <c r="P17" s="43">
        <v>80</v>
      </c>
      <c r="Q17" s="16"/>
      <c r="R17" s="16"/>
      <c r="S17" s="16"/>
      <c r="AA17" s="33" t="s">
        <v>25</v>
      </c>
      <c r="AB17" s="33" t="s">
        <v>26</v>
      </c>
      <c r="AC17" s="33" t="s">
        <v>27</v>
      </c>
    </row>
    <row r="18" spans="1:29" ht="15" customHeight="1">
      <c r="A18" s="16"/>
      <c r="B18" s="1" t="s">
        <v>11</v>
      </c>
      <c r="C18" s="6"/>
      <c r="D18" s="20">
        <f>-(1-D17)*100</f>
        <v>0</v>
      </c>
      <c r="E18" s="20">
        <f>-(1-E17)*100</f>
        <v>-0.34935205124828617</v>
      </c>
      <c r="F18" s="20">
        <f>-(1-F17)*100</f>
        <v>0.70238263788637845</v>
      </c>
      <c r="G18" s="16"/>
      <c r="L18" s="42" t="s">
        <v>16</v>
      </c>
      <c r="M18" s="45">
        <v>2019</v>
      </c>
      <c r="N18" s="42">
        <v>2019</v>
      </c>
      <c r="O18" s="42">
        <v>2019</v>
      </c>
      <c r="P18" s="42">
        <v>2019</v>
      </c>
      <c r="Q18" s="16"/>
      <c r="R18" s="16"/>
      <c r="S18" s="16"/>
      <c r="AA18" s="33">
        <f>IF(AND(D9&lt;&gt;0,E9&lt;&gt;0),ABS(ABS(D9-E9)-1),ABS(D9-E9))</f>
        <v>4511131</v>
      </c>
      <c r="AB18" s="33">
        <f>IF(AND(D9&lt;&gt;0,F9&lt;&gt;0),ABS(ABS(D9-F9)-1),ABS(D9-F9))</f>
        <v>4511131</v>
      </c>
      <c r="AC18" s="33">
        <f>IF(AND(E9&lt;&gt;0,F9&lt;&gt;0),ABS(ABS(E9-F9)-1),ABS(E9-F9))</f>
        <v>1</v>
      </c>
    </row>
    <row r="19" spans="1:29" ht="15" customHeight="1">
      <c r="A19" s="16"/>
      <c r="B19" s="73" t="s">
        <v>28</v>
      </c>
      <c r="C19" s="73" t="s">
        <v>29</v>
      </c>
      <c r="D19" s="1" t="s">
        <v>30</v>
      </c>
      <c r="E19" s="1" t="s">
        <v>30</v>
      </c>
      <c r="F19" s="1" t="s">
        <v>30</v>
      </c>
      <c r="G19" s="16"/>
      <c r="H19" s="16"/>
      <c r="I19" s="16"/>
      <c r="J19" s="16"/>
      <c r="O19" s="16"/>
      <c r="P19" s="16"/>
      <c r="Q19" s="16"/>
      <c r="R19" s="16"/>
      <c r="S19" s="16"/>
      <c r="AA19" s="63" t="s">
        <v>31</v>
      </c>
      <c r="AB19" s="64"/>
      <c r="AC19" s="65"/>
    </row>
    <row r="20" spans="1:29" ht="15" customHeight="1" thickBot="1">
      <c r="A20" s="16"/>
      <c r="B20" s="74"/>
      <c r="C20" s="74"/>
      <c r="D20" s="7">
        <v>0</v>
      </c>
      <c r="E20" s="7">
        <v>0</v>
      </c>
      <c r="F20" s="7">
        <v>0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AA20" s="66"/>
      <c r="AB20" s="67"/>
      <c r="AC20" s="68"/>
    </row>
    <row r="21" spans="1:29" ht="25.5" customHeight="1">
      <c r="A21" s="16"/>
      <c r="B21" s="73" t="s">
        <v>32</v>
      </c>
      <c r="C21" s="73" t="s">
        <v>33</v>
      </c>
      <c r="D21" s="1" t="s">
        <v>30</v>
      </c>
      <c r="E21" s="1" t="s">
        <v>30</v>
      </c>
      <c r="F21" s="1" t="s">
        <v>30</v>
      </c>
      <c r="G21" s="16"/>
      <c r="H21" s="16"/>
      <c r="I21" s="16"/>
      <c r="J21" s="16"/>
      <c r="K21" s="16"/>
      <c r="L21" s="47" t="s">
        <v>34</v>
      </c>
      <c r="M21" s="48" t="str">
        <f>IF(OR(N17=0,O17=0,P17=0,M17=0,H17=0,I17=0,J17=0,M18=0,N18=0,O18=0,P18=0),"НЕТ","ДА")</f>
        <v>ДА</v>
      </c>
      <c r="N21" s="16"/>
      <c r="O21" s="16"/>
      <c r="P21" s="16"/>
      <c r="Q21" s="16"/>
      <c r="R21" s="16"/>
      <c r="S21" s="16"/>
    </row>
    <row r="22" spans="1:29" ht="38.25" customHeight="1">
      <c r="A22" s="16"/>
      <c r="B22" s="74"/>
      <c r="C22" s="74"/>
      <c r="D22" s="8">
        <v>0</v>
      </c>
      <c r="E22" s="8">
        <v>0</v>
      </c>
      <c r="F22" s="8">
        <v>0</v>
      </c>
      <c r="G22" s="16"/>
      <c r="H22" s="16"/>
      <c r="I22" s="16"/>
      <c r="J22" s="16"/>
      <c r="K22" s="16"/>
      <c r="L22" s="49" t="s">
        <v>35</v>
      </c>
      <c r="M22" s="50" t="str">
        <f>IF(AND(H12&gt;5000000,H12&lt;8500000,I12&gt;5000000,I12&lt;8500000,J12&gt;5000000,J12&lt;8500000),"ДА","НЕТ")</f>
        <v>ДА</v>
      </c>
      <c r="N22" s="16"/>
      <c r="O22" s="16"/>
      <c r="P22" s="16"/>
      <c r="Q22" s="16"/>
      <c r="R22" s="16"/>
      <c r="S22" s="16"/>
    </row>
    <row r="23" spans="1:29" ht="25.5" customHeight="1">
      <c r="A23" s="16"/>
      <c r="B23" s="73" t="s">
        <v>36</v>
      </c>
      <c r="C23" s="73" t="s">
        <v>37</v>
      </c>
      <c r="D23" s="1" t="s">
        <v>30</v>
      </c>
      <c r="E23" s="1" t="s">
        <v>30</v>
      </c>
      <c r="F23" s="1" t="s">
        <v>30</v>
      </c>
      <c r="G23" s="16"/>
      <c r="H23" s="16"/>
      <c r="I23" s="16"/>
      <c r="J23" s="16"/>
      <c r="K23" s="16"/>
      <c r="L23" s="49" t="s">
        <v>38</v>
      </c>
      <c r="M23" s="50" t="str">
        <f>IF(A2=0,"НЕТ","ДА")</f>
        <v>НЕТ</v>
      </c>
      <c r="N23" s="16"/>
      <c r="O23" s="16"/>
      <c r="P23" s="16"/>
      <c r="Q23" s="16"/>
      <c r="R23" s="16"/>
      <c r="S23" s="16"/>
    </row>
    <row r="24" spans="1:29" ht="51" customHeight="1">
      <c r="A24" s="16"/>
      <c r="B24" s="74"/>
      <c r="C24" s="74"/>
      <c r="D24" s="9">
        <v>0</v>
      </c>
      <c r="E24" s="9">
        <v>0</v>
      </c>
      <c r="F24" s="9">
        <v>0</v>
      </c>
      <c r="G24" s="16"/>
      <c r="H24" s="16"/>
      <c r="I24" s="16"/>
      <c r="J24" s="16"/>
      <c r="K24" s="16"/>
      <c r="L24" s="49" t="s">
        <v>39</v>
      </c>
      <c r="M24" s="50" t="str">
        <f>IF(AND(N18=0,O18=0,P18=0),"ЗНАЧЕНИЙ НЕТ",IF(AND(M18=N18,M18=O18,M18=P18,N18=O18,N18=P18,O18=P18),"ДА","НЕТ"))</f>
        <v>ДА</v>
      </c>
      <c r="N24" s="16"/>
      <c r="O24" s="16"/>
      <c r="P24" s="16"/>
      <c r="Q24" s="16"/>
      <c r="R24" s="16"/>
      <c r="S24" s="16"/>
    </row>
    <row r="25" spans="1:29" ht="63.75" customHeight="1">
      <c r="A25" s="16"/>
      <c r="B25" s="73" t="s">
        <v>40</v>
      </c>
      <c r="C25" s="73"/>
      <c r="D25" s="1" t="s">
        <v>41</v>
      </c>
      <c r="E25" s="1" t="s">
        <v>41</v>
      </c>
      <c r="F25" s="1" t="s">
        <v>41</v>
      </c>
      <c r="G25" s="16"/>
      <c r="H25" s="16"/>
      <c r="I25" s="16"/>
      <c r="J25" s="16"/>
      <c r="K25" s="16"/>
      <c r="L25" s="49" t="s">
        <v>42</v>
      </c>
      <c r="M25" s="50" t="str">
        <f>IF(AA18=0, "ЗНАЧЕНИЙ НЕТ",IF(OR(AA18&gt;M12,AB18&gt;M12,AC18&gt;M12),"ПРЕВЫШАЕТ","НЕ ПРЕВЫШАЕТ"))</f>
        <v>НЕ ПРЕВЫШАЕТ</v>
      </c>
      <c r="N25" s="16"/>
      <c r="O25" s="16"/>
      <c r="P25" s="16"/>
      <c r="Q25" s="16"/>
      <c r="R25" s="16"/>
      <c r="S25" s="16"/>
    </row>
    <row r="26" spans="1:29" ht="51" customHeight="1">
      <c r="A26" s="16"/>
      <c r="B26" s="74"/>
      <c r="C26" s="74"/>
      <c r="D26" s="60">
        <v>-3</v>
      </c>
      <c r="E26" s="60">
        <v>-3</v>
      </c>
      <c r="F26" s="60">
        <v>-3</v>
      </c>
      <c r="G26" s="16"/>
      <c r="H26" s="16"/>
      <c r="I26" s="16"/>
      <c r="J26" s="16"/>
      <c r="K26" s="16"/>
      <c r="L26" s="49" t="s">
        <v>43</v>
      </c>
      <c r="M26" s="51" t="str">
        <f>IF(OR(C21="Пусто",C23="Пусто"),"НЕТ","ДА")</f>
        <v>ДА</v>
      </c>
      <c r="N26" s="16"/>
      <c r="O26" s="16"/>
      <c r="P26" s="16"/>
      <c r="Q26" s="16"/>
      <c r="R26" s="16"/>
      <c r="S26" s="16"/>
    </row>
    <row r="27" spans="1:29" ht="40.5" customHeight="1" thickBot="1">
      <c r="A27" s="16"/>
      <c r="B27" s="1" t="s">
        <v>44</v>
      </c>
      <c r="C27" s="1"/>
      <c r="D27" s="7">
        <f>D18+D20+D22+D24+D26</f>
        <v>-3</v>
      </c>
      <c r="E27" s="7">
        <f>E18+E20+E22+E24+E26</f>
        <v>-3.3493520512482862</v>
      </c>
      <c r="F27" s="7">
        <f>F18+F20+F22+F24+F26</f>
        <v>-2.2976173621136216</v>
      </c>
      <c r="G27" s="16"/>
      <c r="H27" s="16"/>
      <c r="I27" s="16"/>
      <c r="J27" s="16"/>
      <c r="K27" s="16"/>
      <c r="L27" s="52" t="s">
        <v>45</v>
      </c>
      <c r="M27" s="53" t="str">
        <f>IF(AND(M21="ДА",M22="ДА",M23="ДА",M24="ДА",M25="НЕ ПРЕВЫШАЕТ",M26="ДА"),"ДА","НЕТ")</f>
        <v>НЕТ</v>
      </c>
      <c r="N27" s="16"/>
      <c r="O27" s="16"/>
      <c r="P27" s="16"/>
      <c r="Q27" s="16"/>
      <c r="R27" s="16"/>
      <c r="S27" s="16"/>
    </row>
    <row r="28" spans="1:29" ht="15" customHeight="1">
      <c r="A28" s="16"/>
      <c r="B28" s="1" t="s">
        <v>15</v>
      </c>
      <c r="C28" s="21"/>
      <c r="D28" s="10">
        <f>D12*((100+D27)/100)</f>
        <v>155472104.36119998</v>
      </c>
      <c r="E28" s="10">
        <f>E12*((100+E27)/100)</f>
        <v>159468401.10864383</v>
      </c>
      <c r="F28" s="10">
        <f>F12*((100+F27)/100)</f>
        <v>161203707.10841048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29" ht="15" customHeight="1">
      <c r="A29" s="16"/>
      <c r="B29" s="1" t="s">
        <v>46</v>
      </c>
      <c r="C29" s="21"/>
      <c r="D29" s="57">
        <v>3</v>
      </c>
      <c r="E29" s="57">
        <v>3</v>
      </c>
      <c r="F29" s="57">
        <v>3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1:29" ht="15" customHeight="1">
      <c r="A30" s="16"/>
      <c r="B30" s="1" t="s">
        <v>47</v>
      </c>
      <c r="C30" s="11">
        <f>D30+E30+F30</f>
        <v>1</v>
      </c>
      <c r="D30" s="12">
        <f>(1/D29)/(1/D29+1/E29+1/F29)</f>
        <v>0.33333333333333331</v>
      </c>
      <c r="E30" s="12">
        <f>(1/E29)/(1/E29+1/F29+1/D29)</f>
        <v>0.33333333333333331</v>
      </c>
      <c r="F30" s="12">
        <f>(1/F29)/(1/F29+1/D29+1/E29)</f>
        <v>0.33333333333333331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1:29" ht="15" customHeight="1">
      <c r="A31" s="16"/>
      <c r="B31" s="15" t="s">
        <v>48</v>
      </c>
      <c r="C31" s="18">
        <f>ROUND(D31+E31+F31,-3)</f>
        <v>158715000</v>
      </c>
      <c r="D31" s="18">
        <f>D28*D30</f>
        <v>51824034.787066653</v>
      </c>
      <c r="E31" s="18">
        <f>E28*E30</f>
        <v>53156133.702881277</v>
      </c>
      <c r="F31" s="18">
        <f>F28*F30</f>
        <v>53734569.036136821</v>
      </c>
      <c r="G31" s="16"/>
      <c r="H31" s="24">
        <f>C31/L12</f>
        <v>14073.186065049747</v>
      </c>
      <c r="I31" s="25" t="s">
        <v>49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41" spans="5:6" ht="12.75" customHeight="1">
      <c r="E41" s="35"/>
      <c r="F41" s="35"/>
    </row>
    <row r="42" spans="5:6" ht="12.75" customHeight="1">
      <c r="E42" s="35"/>
      <c r="F42" s="35"/>
    </row>
    <row r="43" spans="5:6" ht="12.75" customHeight="1">
      <c r="E43" s="35"/>
      <c r="F43" s="35"/>
    </row>
  </sheetData>
  <mergeCells count="11">
    <mergeCell ref="AA19:AC20"/>
    <mergeCell ref="AA16:AC16"/>
    <mergeCell ref="H11:J11"/>
    <mergeCell ref="B25:B26"/>
    <mergeCell ref="C25:C26"/>
    <mergeCell ref="B19:B20"/>
    <mergeCell ref="C19:C20"/>
    <mergeCell ref="B21:B22"/>
    <mergeCell ref="C21:C22"/>
    <mergeCell ref="B23:B24"/>
    <mergeCell ref="C23:C24"/>
  </mergeCells>
  <conditionalFormatting sqref="M21:M23 M26:M27">
    <cfRule type="containsText" dxfId="3" priority="4" operator="containsText" text="НЕТ">
      <formula>NOT(ISERROR(SEARCH("НЕТ",M21)))</formula>
    </cfRule>
  </conditionalFormatting>
  <conditionalFormatting sqref="M24:M25">
    <cfRule type="containsText" dxfId="2" priority="3" operator="containsText" text="ЗНАЧЕНИЙ НЕТ">
      <formula>NOT(ISERROR(SEARCH("ЗНАЧЕНИЙ НЕТ",M24)))</formula>
    </cfRule>
  </conditionalFormatting>
  <conditionalFormatting sqref="M26:M27 M21:M24">
    <cfRule type="containsText" dxfId="1" priority="2" operator="containsText" text="ДА">
      <formula>NOT(ISERROR(SEARCH("ДА",M21)))</formula>
    </cfRule>
  </conditionalFormatting>
  <conditionalFormatting sqref="M25">
    <cfRule type="containsText" dxfId="0" priority="1" operator="containsText" text="НЕ ПРЕВЫШАЕТ">
      <formula>NOT(ISERROR(SEARCH("НЕ ПРЕВЫШАЕТ",M25)))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ТС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Farhad</dc:creator>
  <cp:lastModifiedBy>Microsoft Office User</cp:lastModifiedBy>
  <dcterms:created xsi:type="dcterms:W3CDTF">2013-05-03T09:26:40Z</dcterms:created>
  <dcterms:modified xsi:type="dcterms:W3CDTF">2022-12-25T07:17:54Z</dcterms:modified>
</cp:coreProperties>
</file>