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enik/Research_files/FireFlux_med/"/>
    </mc:Choice>
  </mc:AlternateContent>
  <xr:revisionPtr revIDLastSave="0" documentId="13_ncr:1_{FB6B383A-D337-154E-9C92-E97D98C8343D}" xr6:coauthVersionLast="47" xr6:coauthVersionMax="47" xr10:uidLastSave="{00000000-0000-0000-0000-000000000000}"/>
  <bookViews>
    <workbookView xWindow="0" yWindow="640" windowWidth="34560" windowHeight="21700" xr2:uid="{BE37ABCF-635B-BF46-BE11-3CD29516FACD}"/>
  </bookViews>
  <sheets>
    <sheet name="Sheet1" sheetId="1" r:id="rId1"/>
  </sheets>
  <definedNames>
    <definedName name="solver_adj" localSheetId="0" hidden="1">Sheet1!$B$26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Sheet1!$G$18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1" l="1"/>
  <c r="G30" i="1"/>
  <c r="H29" i="1"/>
  <c r="G29" i="1"/>
  <c r="H28" i="1"/>
  <c r="G28" i="1"/>
  <c r="H27" i="1"/>
  <c r="G27" i="1"/>
  <c r="D27" i="1"/>
  <c r="K27" i="1" s="1"/>
  <c r="H26" i="1"/>
  <c r="G26" i="1"/>
  <c r="I26" i="1" s="1"/>
  <c r="G9" i="1"/>
  <c r="D28" i="1"/>
  <c r="K28" i="1" s="1"/>
  <c r="D29" i="1"/>
  <c r="K29" i="1" s="1"/>
  <c r="D30" i="1"/>
  <c r="K30" i="1" s="1"/>
  <c r="D26" i="1"/>
  <c r="J26" i="1" s="1"/>
  <c r="D19" i="1"/>
  <c r="K19" i="1" s="1"/>
  <c r="D20" i="1"/>
  <c r="K20" i="1" s="1"/>
  <c r="D21" i="1"/>
  <c r="K21" i="1" s="1"/>
  <c r="D22" i="1"/>
  <c r="K22" i="1" s="1"/>
  <c r="D18" i="1"/>
  <c r="J18" i="1" s="1"/>
  <c r="J12" i="1"/>
  <c r="K12" i="1"/>
  <c r="E10" i="1"/>
  <c r="E11" i="1"/>
  <c r="E12" i="1"/>
  <c r="E13" i="1"/>
  <c r="E9" i="1"/>
  <c r="N3" i="1"/>
  <c r="N4" i="1"/>
  <c r="N5" i="1"/>
  <c r="N6" i="1"/>
  <c r="N2" i="1"/>
  <c r="J3" i="1"/>
  <c r="J4" i="1"/>
  <c r="J5" i="1"/>
  <c r="J6" i="1"/>
  <c r="J2" i="1"/>
  <c r="D2" i="1"/>
  <c r="D3" i="1"/>
  <c r="D4" i="1"/>
  <c r="G11" i="1" s="1"/>
  <c r="H11" i="1" s="1"/>
  <c r="D5" i="1"/>
  <c r="G12" i="1" s="1"/>
  <c r="H12" i="1" s="1"/>
  <c r="D6" i="1"/>
  <c r="G13" i="1" s="1"/>
  <c r="H13" i="1" s="1"/>
  <c r="I30" i="1" l="1"/>
  <c r="I28" i="1"/>
  <c r="I29" i="1"/>
  <c r="I27" i="1"/>
  <c r="M5" i="1"/>
  <c r="M6" i="1"/>
  <c r="J28" i="1"/>
  <c r="J27" i="1"/>
  <c r="K26" i="1"/>
  <c r="J29" i="1"/>
  <c r="J30" i="1"/>
  <c r="J20" i="1"/>
  <c r="J19" i="1"/>
  <c r="K18" i="1"/>
  <c r="J22" i="1"/>
  <c r="J21" i="1"/>
  <c r="O5" i="1"/>
  <c r="M2" i="1"/>
  <c r="O2" i="1" s="1"/>
  <c r="M4" i="1"/>
  <c r="O4" i="1" s="1"/>
  <c r="G10" i="1"/>
  <c r="H10" i="1" s="1"/>
  <c r="M3" i="1"/>
  <c r="O3" i="1" s="1"/>
  <c r="D9" i="1" s="1"/>
  <c r="O6" i="1"/>
  <c r="L12" i="1"/>
  <c r="H9" i="1"/>
  <c r="J9" i="1" l="1"/>
  <c r="K9" i="1"/>
  <c r="D11" i="1"/>
  <c r="J11" i="1" s="1"/>
  <c r="D13" i="1"/>
  <c r="D10" i="1"/>
  <c r="P2" i="1"/>
  <c r="L9" i="1"/>
  <c r="K10" i="1" l="1"/>
  <c r="J10" i="1"/>
  <c r="L10" i="1" s="1"/>
  <c r="K11" i="1"/>
  <c r="L11" i="1" s="1"/>
  <c r="K13" i="1"/>
  <c r="J13" i="1"/>
  <c r="L13" i="1" s="1"/>
</calcChain>
</file>

<file path=xl/sharedStrings.xml><?xml version="1.0" encoding="utf-8"?>
<sst xmlns="http://schemas.openxmlformats.org/spreadsheetml/2006/main" count="41" uniqueCount="23">
  <si>
    <t>Original input_Sounding</t>
  </si>
  <si>
    <t>5.28 </t>
  </si>
  <si>
    <t>5.33 </t>
  </si>
  <si>
    <t>5.77 </t>
  </si>
  <si>
    <t>10   </t>
  </si>
  <si>
    <t>20   </t>
  </si>
  <si>
    <t>u</t>
  </si>
  <si>
    <t>v</t>
  </si>
  <si>
    <t>ws</t>
  </si>
  <si>
    <t>Modified Sounding 1</t>
  </si>
  <si>
    <t>sim</t>
  </si>
  <si>
    <t>Differences in sounding</t>
  </si>
  <si>
    <t>Differences in Model</t>
  </si>
  <si>
    <t>Adjustments</t>
  </si>
  <si>
    <t>Making new sounding</t>
  </si>
  <si>
    <t>Initial Angles</t>
  </si>
  <si>
    <t>New angles</t>
  </si>
  <si>
    <t>Make sure they are close to 90</t>
  </si>
  <si>
    <t>calculated ws</t>
  </si>
  <si>
    <t>actual ws</t>
  </si>
  <si>
    <t>These are unrealistic</t>
  </si>
  <si>
    <t>thoughts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</si>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</sst>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3E447-3B6A-9040-A6A4-DC20E2513405}">
  <dimension ref="A1:P30"/>
  <sheetViews>
    <sheetView tabSelected="1" workbookViewId="0">
      <selection activeCell="H5" sqref="H5"/>
    </sheetView>
  </sheetViews>
  <sheetFormatPr baseColWidth="10" defaultRowHeight="16" x14ac:dyDescent="0.2"/>
  <cols>
    <col min="1" max="1" width="23.6640625" style="1" bestFit="1" customWidth="1"/>
    <col min="2" max="2" width="10.83203125" style="1"/>
    <col min="3" max="3" width="10.6640625" style="1" customWidth="1"/>
    <col min="4" max="4" width="12.1640625" style="1" bestFit="1" customWidth="1"/>
    <col min="5" max="6" width="10.83203125" style="1"/>
    <col min="7" max="7" width="18.1640625" style="1" bestFit="1" customWidth="1"/>
    <col min="8" max="11" width="10.83203125" style="1"/>
    <col min="12" max="12" width="15" style="1" bestFit="1" customWidth="1"/>
    <col min="13" max="13" width="20.33203125" style="1" bestFit="1" customWidth="1"/>
    <col min="14" max="14" width="20.5" style="1" bestFit="1" customWidth="1"/>
    <col min="15" max="15" width="18.33203125" style="1" bestFit="1" customWidth="1"/>
    <col min="16" max="16" width="11.5" style="1" bestFit="1" customWidth="1"/>
    <col min="17" max="16384" width="10.83203125" style="1"/>
  </cols>
  <sheetData>
    <row r="1" spans="1:16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10</v>
      </c>
      <c r="G1" s="1" t="s">
        <v>9</v>
      </c>
      <c r="H1" s="1" t="s">
        <v>6</v>
      </c>
      <c r="I1" s="1" t="s">
        <v>7</v>
      </c>
      <c r="J1" s="1" t="s">
        <v>8</v>
      </c>
      <c r="K1" s="1" t="s">
        <v>10</v>
      </c>
      <c r="M1" s="1" t="s">
        <v>11</v>
      </c>
      <c r="N1" s="1" t="s">
        <v>12</v>
      </c>
      <c r="O1" s="1" t="s">
        <v>13</v>
      </c>
    </row>
    <row r="2" spans="1:16" x14ac:dyDescent="0.2">
      <c r="A2" s="2" t="s">
        <v>1</v>
      </c>
      <c r="B2" s="1">
        <v>5.4</v>
      </c>
      <c r="C2" s="1">
        <v>-6.7</v>
      </c>
      <c r="D2" s="1">
        <f>SQRT((POWER(B2,2))+(POWER(C2,2)))</f>
        <v>8.6052309672663654</v>
      </c>
      <c r="E2" s="2">
        <v>5.7719800000000001</v>
      </c>
      <c r="G2" s="2" t="s">
        <v>1</v>
      </c>
      <c r="H2" s="1">
        <v>7.16</v>
      </c>
      <c r="I2" s="1">
        <v>-8.6999999999999993</v>
      </c>
      <c r="J2" s="1">
        <f>SQRT(POWER(H2,2) + POWER(I2,2))</f>
        <v>11.267457565928526</v>
      </c>
      <c r="K2" s="2">
        <v>6.771331</v>
      </c>
      <c r="M2" s="1">
        <f>J2 - D2</f>
        <v>2.6622265986621603</v>
      </c>
      <c r="N2" s="1">
        <f xml:space="preserve"> K2 - E2</f>
        <v>0.99935099999999988</v>
      </c>
      <c r="O2" s="1">
        <f>M2/N2</f>
        <v>2.6639555057854154</v>
      </c>
      <c r="P2" s="1">
        <f xml:space="preserve"> 3* O2</f>
        <v>7.9918665173562466</v>
      </c>
    </row>
    <row r="3" spans="1:16" x14ac:dyDescent="0.2">
      <c r="A3" s="2" t="s">
        <v>2</v>
      </c>
      <c r="B3" s="1">
        <v>5.33</v>
      </c>
      <c r="C3" s="1">
        <v>-6.3360000000000003</v>
      </c>
      <c r="D3" s="1">
        <f t="shared" ref="D3:D6" si="0">SQRT((POWER(B3,2))+(POWER(C3,2)))</f>
        <v>8.2797219760086147</v>
      </c>
      <c r="E3" s="2">
        <v>5.7719800000000001</v>
      </c>
      <c r="G3" s="2" t="s">
        <v>2</v>
      </c>
      <c r="H3" s="1">
        <v>7.15</v>
      </c>
      <c r="I3" s="1">
        <v>-8.3360000000000003</v>
      </c>
      <c r="J3" s="1">
        <f>SQRT(POWER(H3,2) + POWER(I3,2))</f>
        <v>10.982321976704199</v>
      </c>
      <c r="K3" s="2">
        <v>6.771331</v>
      </c>
      <c r="M3" s="1">
        <f>J3 - D3</f>
        <v>2.7026000006955844</v>
      </c>
      <c r="N3" s="1">
        <f xml:space="preserve"> K3 - E3</f>
        <v>0.99935099999999988</v>
      </c>
      <c r="O3" s="1">
        <f t="shared" ref="O3:O6" si="1">M3/N3</f>
        <v>2.7043551271731201</v>
      </c>
    </row>
    <row r="4" spans="1:16" x14ac:dyDescent="0.2">
      <c r="A4" s="2" t="s">
        <v>3</v>
      </c>
      <c r="B4" s="1">
        <v>6.66</v>
      </c>
      <c r="C4" s="1">
        <v>-8.1999999999999993</v>
      </c>
      <c r="D4" s="1">
        <f t="shared" si="0"/>
        <v>10.563881862270138</v>
      </c>
      <c r="E4" s="2">
        <v>5.7719800000000001</v>
      </c>
      <c r="G4" s="2" t="s">
        <v>3</v>
      </c>
      <c r="H4" s="1">
        <v>8.66</v>
      </c>
      <c r="I4" s="1">
        <v>-10.199999999999999</v>
      </c>
      <c r="J4" s="1">
        <f>SQRT(POWER(H4,2) + POWER(I4,2))</f>
        <v>13.380418528581234</v>
      </c>
      <c r="K4" s="2">
        <v>6.771331</v>
      </c>
      <c r="M4" s="1">
        <f>J4 - D4</f>
        <v>2.8165366663110962</v>
      </c>
      <c r="N4" s="1">
        <f xml:space="preserve"> K4 - E4</f>
        <v>0.99935099999999988</v>
      </c>
      <c r="O4" s="1">
        <f t="shared" si="1"/>
        <v>2.8183657857060198</v>
      </c>
    </row>
    <row r="5" spans="1:16" x14ac:dyDescent="0.2">
      <c r="A5" s="2" t="s">
        <v>4</v>
      </c>
      <c r="B5" s="1">
        <v>6.33</v>
      </c>
      <c r="C5" s="1">
        <v>-8.51</v>
      </c>
      <c r="D5" s="1">
        <f t="shared" si="0"/>
        <v>10.606083160149179</v>
      </c>
      <c r="E5" s="3">
        <v>9.0475139999999996</v>
      </c>
      <c r="G5" s="2" t="s">
        <v>4</v>
      </c>
      <c r="H5" s="1">
        <v>7.165</v>
      </c>
      <c r="I5" s="1">
        <v>-9.51</v>
      </c>
      <c r="J5" s="1">
        <f>SQRT(POWER(H5,2) + POWER(I5,2))</f>
        <v>11.90702838662947</v>
      </c>
      <c r="K5" s="3">
        <v>10.399844999999999</v>
      </c>
      <c r="M5" s="1">
        <f>J5 - D5</f>
        <v>1.300945226480291</v>
      </c>
      <c r="N5" s="1">
        <f xml:space="preserve"> K5 - E5</f>
        <v>1.3523309999999995</v>
      </c>
      <c r="O5" s="1">
        <f t="shared" si="1"/>
        <v>0.9620020738120264</v>
      </c>
    </row>
    <row r="6" spans="1:16" x14ac:dyDescent="0.2">
      <c r="A6" s="2" t="s">
        <v>5</v>
      </c>
      <c r="B6" s="1">
        <v>6.98</v>
      </c>
      <c r="C6" s="1">
        <v>-9.65</v>
      </c>
      <c r="D6" s="1">
        <f t="shared" si="0"/>
        <v>11.909781694053002</v>
      </c>
      <c r="E6" s="3">
        <v>9.8394139999999997</v>
      </c>
      <c r="G6" s="2" t="s">
        <v>5</v>
      </c>
      <c r="H6" s="1">
        <v>8.98</v>
      </c>
      <c r="I6" s="1">
        <v>-11.65</v>
      </c>
      <c r="J6" s="1">
        <f>SQRT(POWER(H6,2) + POWER(I6,2))</f>
        <v>14.709279384116682</v>
      </c>
      <c r="K6" s="3">
        <v>10.975852</v>
      </c>
      <c r="M6" s="1">
        <f>J6 - D6</f>
        <v>2.7994976900636797</v>
      </c>
      <c r="N6" s="1">
        <f xml:space="preserve"> K6 - E6</f>
        <v>1.1364380000000001</v>
      </c>
      <c r="O6" s="1">
        <f t="shared" si="1"/>
        <v>2.4633967625718953</v>
      </c>
    </row>
    <row r="8" spans="1:16" x14ac:dyDescent="0.2">
      <c r="B8" s="1" t="s">
        <v>6</v>
      </c>
      <c r="C8" s="1" t="s">
        <v>7</v>
      </c>
      <c r="D8" s="1" t="s">
        <v>18</v>
      </c>
      <c r="E8" s="1" t="s">
        <v>19</v>
      </c>
      <c r="G8" s="1" t="s">
        <v>15</v>
      </c>
      <c r="J8" s="1" t="s">
        <v>16</v>
      </c>
      <c r="L8" s="1" t="s">
        <v>17</v>
      </c>
    </row>
    <row r="9" spans="1:16" x14ac:dyDescent="0.2">
      <c r="A9" s="2" t="s">
        <v>14</v>
      </c>
      <c r="B9" s="1">
        <v>10.404</v>
      </c>
      <c r="C9" s="1">
        <v>-12.91</v>
      </c>
      <c r="D9" s="1">
        <f>D2 + O3 * 3</f>
        <v>16.718296348785728</v>
      </c>
      <c r="E9" s="1">
        <f>SQRT((POWER(B9,2))+(POWER(C9,2)))</f>
        <v>16.580449812957429</v>
      </c>
      <c r="G9" s="1">
        <f>ACOS(B2/D2)*180/PI()</f>
        <v>51.132222497679308</v>
      </c>
      <c r="H9" s="1">
        <f>180 - ACOS(C2 /D2)*180/PI()</f>
        <v>38.867777502320706</v>
      </c>
      <c r="J9" s="1">
        <f>ACOS(B9/D9)*180/PI()</f>
        <v>51.514818171535559</v>
      </c>
      <c r="K9" s="1">
        <f>180 - ACOS(C9 /D9)*180/PI()</f>
        <v>39.447430319968191</v>
      </c>
      <c r="L9" s="1">
        <f xml:space="preserve"> J9 + K9</f>
        <v>90.962248491503743</v>
      </c>
    </row>
    <row r="10" spans="1:16" x14ac:dyDescent="0.2">
      <c r="B10" s="1">
        <v>10.467000000000001</v>
      </c>
      <c r="C10" s="1">
        <v>-12.442</v>
      </c>
      <c r="D10" s="1">
        <f>D3 + O2 * 3</f>
        <v>16.27158849336486</v>
      </c>
      <c r="E10" s="1">
        <f t="shared" ref="E10:E13" si="2">SQRT((POWER(B10,2))+(POWER(C10,2)))</f>
        <v>16.259195951829845</v>
      </c>
      <c r="G10" s="1">
        <f t="shared" ref="G10:G13" si="3">ACOS(B3/D3)*180/PI()</f>
        <v>49.928622911673486</v>
      </c>
      <c r="H10" s="1">
        <f t="shared" ref="H10:H13" si="4">90-G10</f>
        <v>40.071377088326514</v>
      </c>
      <c r="J10" s="1">
        <f t="shared" ref="J10:J13" si="5">ACOS(B10/D10)*180/PI()</f>
        <v>49.964024135951192</v>
      </c>
      <c r="K10" s="1">
        <f t="shared" ref="K10:K13" si="6">180 - ACOS(C10 /D10)*180/PI()</f>
        <v>40.124518737124845</v>
      </c>
      <c r="L10" s="1">
        <f t="shared" ref="L10:L13" si="7" xml:space="preserve"> J10 + K10</f>
        <v>90.088542873076037</v>
      </c>
    </row>
    <row r="11" spans="1:16" x14ac:dyDescent="0.2">
      <c r="B11" s="1">
        <v>16.66</v>
      </c>
      <c r="C11" s="1">
        <v>-18.2</v>
      </c>
      <c r="D11" s="1">
        <f>D4+(O4*5)</f>
        <v>24.655710790800235</v>
      </c>
      <c r="E11" s="1">
        <f t="shared" si="2"/>
        <v>24.673783657963767</v>
      </c>
      <c r="G11" s="1">
        <f t="shared" si="3"/>
        <v>50.916664720872859</v>
      </c>
      <c r="H11" s="1">
        <f t="shared" si="4"/>
        <v>39.083335279127141</v>
      </c>
      <c r="J11" s="1">
        <f t="shared" si="5"/>
        <v>47.491037750601045</v>
      </c>
      <c r="K11" s="1">
        <f t="shared" si="6"/>
        <v>42.424605161453968</v>
      </c>
      <c r="L11" s="1">
        <f t="shared" si="7"/>
        <v>89.915642912055006</v>
      </c>
    </row>
    <row r="12" spans="1:16" x14ac:dyDescent="0.2">
      <c r="B12" s="1">
        <v>7.1064226882000003</v>
      </c>
      <c r="C12" s="1">
        <v>-9.5100000000000993</v>
      </c>
      <c r="D12" s="1">
        <v>11.907</v>
      </c>
      <c r="E12" s="1">
        <f t="shared" si="2"/>
        <v>11.871871942678863</v>
      </c>
      <c r="G12" s="1">
        <f t="shared" si="3"/>
        <v>53.356993751541523</v>
      </c>
      <c r="H12" s="1">
        <f t="shared" si="4"/>
        <v>36.643006248458477</v>
      </c>
      <c r="J12" s="1">
        <f t="shared" si="5"/>
        <v>53.356993750286179</v>
      </c>
      <c r="K12" s="1">
        <f t="shared" si="6"/>
        <v>36.994826608046736</v>
      </c>
      <c r="L12" s="1">
        <f t="shared" si="7"/>
        <v>90.351820358332915</v>
      </c>
    </row>
    <row r="13" spans="1:16" x14ac:dyDescent="0.2">
      <c r="B13" s="1">
        <v>10.102544120999999</v>
      </c>
      <c r="C13" s="1">
        <v>-13.966984357999999</v>
      </c>
      <c r="D13" s="1">
        <f>O2 * 2 + D6</f>
        <v>17.237692705623832</v>
      </c>
      <c r="E13" s="1">
        <f t="shared" si="2"/>
        <v>17.23769270445927</v>
      </c>
      <c r="G13" s="1">
        <f t="shared" si="3"/>
        <v>54.121180065559166</v>
      </c>
      <c r="H13" s="1">
        <f t="shared" si="4"/>
        <v>35.878819934440834</v>
      </c>
      <c r="J13" s="1">
        <f t="shared" si="5"/>
        <v>54.121180082645481</v>
      </c>
      <c r="K13" s="1">
        <f t="shared" si="6"/>
        <v>35.878819925505923</v>
      </c>
      <c r="L13" s="1">
        <f t="shared" si="7"/>
        <v>90.000000008151403</v>
      </c>
    </row>
    <row r="17" spans="1:15" x14ac:dyDescent="0.2">
      <c r="A17" s="1" t="s">
        <v>20</v>
      </c>
      <c r="B17" s="1" t="s">
        <v>6</v>
      </c>
      <c r="C17" s="1" t="s">
        <v>7</v>
      </c>
      <c r="D17" s="1" t="s">
        <v>8</v>
      </c>
      <c r="G17" s="2" t="s">
        <v>15</v>
      </c>
      <c r="H17" s="2"/>
    </row>
    <row r="18" spans="1:15" x14ac:dyDescent="0.2">
      <c r="B18" s="2">
        <v>8.4</v>
      </c>
      <c r="C18" s="2">
        <v>-9.6999999999999993</v>
      </c>
      <c r="D18" s="1">
        <f>SQRT((POWER(B18,2))+(POWER(C18,2)))</f>
        <v>12.83160161476345</v>
      </c>
      <c r="G18" s="2">
        <v>51.132222499999997</v>
      </c>
      <c r="H18" s="2">
        <v>38.867777500000003</v>
      </c>
      <c r="J18" s="1">
        <f>ACOS(B18/D18)*180/PI()</f>
        <v>49.108112177135865</v>
      </c>
      <c r="K18" s="1">
        <f>180 - ACOS(C18/D18)*180/PI()</f>
        <v>40.891887822864135</v>
      </c>
    </row>
    <row r="19" spans="1:15" x14ac:dyDescent="0.2">
      <c r="B19" s="2">
        <v>8.33</v>
      </c>
      <c r="C19" s="2">
        <v>-9.3360000000000003</v>
      </c>
      <c r="D19" s="1">
        <f>SQRT((POWER(B19,2))+(POWER(C19,2)))</f>
        <v>12.511986093342657</v>
      </c>
      <c r="G19" s="2">
        <v>49.928622910000001</v>
      </c>
      <c r="H19" s="2">
        <v>40.071377099999999</v>
      </c>
      <c r="J19" s="1">
        <f>ACOS(B19/D19)*180/PI()</f>
        <v>48.259219444860257</v>
      </c>
      <c r="K19" s="1">
        <f>180 - ACOS(C19/D19)*180/PI()</f>
        <v>41.740780555139736</v>
      </c>
    </row>
    <row r="20" spans="1:15" x14ac:dyDescent="0.2">
      <c r="B20" s="2">
        <v>9.66</v>
      </c>
      <c r="C20" s="2">
        <v>-11.2</v>
      </c>
      <c r="D20" s="1">
        <f>SQRT((POWER(B20,2))+(POWER(C20,2)))</f>
        <v>14.790388771090502</v>
      </c>
      <c r="G20" s="2">
        <v>50.91666472</v>
      </c>
      <c r="H20" s="2">
        <v>39.083335300000002</v>
      </c>
      <c r="J20" s="1">
        <f>ACOS(B20/D20)*180/PI()</f>
        <v>49.222230206142683</v>
      </c>
      <c r="K20" s="1">
        <f>180 - ACOS(C20/D20)*180/PI()</f>
        <v>40.777769793857289</v>
      </c>
    </row>
    <row r="21" spans="1:15" x14ac:dyDescent="0.2">
      <c r="B21" s="2">
        <v>9.33</v>
      </c>
      <c r="C21" s="2">
        <v>-11.51</v>
      </c>
      <c r="D21" s="1">
        <f>SQRT((POWER(B21,2))+(POWER(C21,2)))</f>
        <v>14.816511060300263</v>
      </c>
      <c r="G21" s="2">
        <v>53.356993750000001</v>
      </c>
      <c r="H21" s="2">
        <v>36.643006200000002</v>
      </c>
      <c r="J21" s="1">
        <f>ACOS(B21/D21)*180/PI()</f>
        <v>50.971793476032751</v>
      </c>
      <c r="K21" s="1">
        <f>180 - ACOS(C21/D21)*180/PI()</f>
        <v>39.028206523967242</v>
      </c>
      <c r="O21" s="1" t="s">
        <v>22</v>
      </c>
    </row>
    <row r="22" spans="1:15" x14ac:dyDescent="0.2">
      <c r="B22" s="2">
        <v>9.98</v>
      </c>
      <c r="C22" s="2">
        <v>-12.65</v>
      </c>
      <c r="D22" s="1">
        <f>SQRT((POWER(B22,2))+(POWER(C22,2)))</f>
        <v>16.11281787894346</v>
      </c>
      <c r="G22" s="2">
        <v>54.121180070000001</v>
      </c>
      <c r="H22" s="2">
        <v>35.878819900000003</v>
      </c>
      <c r="J22" s="1">
        <f>ACOS(B22/D22)*180/PI()</f>
        <v>51.728932951997166</v>
      </c>
      <c r="K22" s="1">
        <f>180 - ACOS(C22/D22)*180/PI()</f>
        <v>38.271067048002806</v>
      </c>
    </row>
    <row r="25" spans="1:15" x14ac:dyDescent="0.2">
      <c r="A25" s="1" t="s">
        <v>21</v>
      </c>
      <c r="B25" s="1" t="s">
        <v>6</v>
      </c>
      <c r="C25" s="1" t="s">
        <v>7</v>
      </c>
      <c r="D25" s="1" t="s">
        <v>8</v>
      </c>
    </row>
    <row r="26" spans="1:15" x14ac:dyDescent="0.2">
      <c r="B26" s="1">
        <v>7.55</v>
      </c>
      <c r="C26" s="1">
        <v>-9.3800000000000008</v>
      </c>
      <c r="D26" s="1">
        <f>SQRT((POWER(B26,2))+(POWER(C26,2)))</f>
        <v>12.041050618612978</v>
      </c>
      <c r="E26" s="1">
        <v>12</v>
      </c>
      <c r="G26" s="1">
        <f>ACOS(B26/12.04159458)*180/PI()</f>
        <v>51.171354255815359</v>
      </c>
      <c r="H26" s="1">
        <f>180 - ACOS(C26/12.04159458)*180/PI()</f>
        <v>38.83394450104629</v>
      </c>
      <c r="I26" s="1">
        <f xml:space="preserve"> G26 + H26</f>
        <v>90.005298756861649</v>
      </c>
      <c r="J26" s="1">
        <f>ACOS(B26/D26)*180/PI()</f>
        <v>51.169270991081412</v>
      </c>
      <c r="K26" s="1">
        <f>180 - ACOS(C26/D26)*180/PI()</f>
        <v>38.830729008918553</v>
      </c>
    </row>
    <row r="27" spans="1:15" x14ac:dyDescent="0.2">
      <c r="B27" s="1">
        <v>7.64</v>
      </c>
      <c r="C27" s="1">
        <v>-9.08</v>
      </c>
      <c r="D27" s="1">
        <f>SQRT((POWER(B27,2))+(POWER(C27,2)))</f>
        <v>11.866591760063207</v>
      </c>
      <c r="E27" s="1">
        <v>12</v>
      </c>
      <c r="G27" s="1">
        <f>ACOS(B27/11.86307296)*180/PI()</f>
        <v>49.908116965276271</v>
      </c>
      <c r="H27" s="1">
        <f>180 - ACOS(C27/11.86307296)*180/PI()</f>
        <v>40.057379386721209</v>
      </c>
      <c r="I27" s="1">
        <f t="shared" ref="I27:I30" si="8" xml:space="preserve"> G27 + H27</f>
        <v>89.965496351997473</v>
      </c>
      <c r="J27" s="1">
        <f>ACOS(B27/D27)*180/PI()</f>
        <v>49.922418187135989</v>
      </c>
      <c r="K27" s="1">
        <f>180 - ACOS(C27/D27)*180/PI()</f>
        <v>40.077581812863997</v>
      </c>
    </row>
    <row r="28" spans="1:15" x14ac:dyDescent="0.2">
      <c r="B28" s="1">
        <v>8.9700000000000006</v>
      </c>
      <c r="C28" s="1">
        <v>-11.02</v>
      </c>
      <c r="D28" s="1">
        <f>SQRT((POWER(B28,2))+(POWER(C28,2)))</f>
        <v>14.209197725417154</v>
      </c>
      <c r="E28" s="1">
        <v>14</v>
      </c>
      <c r="G28" s="1">
        <f>ACOS(B28/14.2126704)*180/PI()</f>
        <v>50.866680582364388</v>
      </c>
      <c r="H28" s="1">
        <f>180 - ACOS(C28/14.2126704)*180/PI()</f>
        <v>39.161909404704829</v>
      </c>
      <c r="I28" s="1">
        <f t="shared" si="8"/>
        <v>90.028589987069211</v>
      </c>
      <c r="J28" s="1">
        <f>ACOS(B28/D28)*180/PI()</f>
        <v>50.855286306268873</v>
      </c>
      <c r="K28" s="1">
        <f>180 - ACOS(C28/D28)*180/PI()</f>
        <v>39.144713693731148</v>
      </c>
    </row>
    <row r="29" spans="1:15" x14ac:dyDescent="0.2">
      <c r="B29" s="1">
        <v>7.61</v>
      </c>
      <c r="C29" s="1">
        <v>-10.220000000000001</v>
      </c>
      <c r="D29" s="1">
        <f>SQRT((POWER(B29,2))+(POWER(C29,2)))</f>
        <v>12.742075969009132</v>
      </c>
      <c r="E29" s="1">
        <v>12.5</v>
      </c>
      <c r="G29" s="1">
        <f>ACOS(B29/12.74754878)*180/PI()</f>
        <v>53.346266543602297</v>
      </c>
      <c r="H29" s="1">
        <f>180 - ACOS(C29/12.74754878)*180/PI()</f>
        <v>36.705069773775904</v>
      </c>
      <c r="I29" s="1">
        <f t="shared" si="8"/>
        <v>90.051336317378201</v>
      </c>
      <c r="J29" s="1">
        <f>ACOS(B29/D29)*180/PI()</f>
        <v>53.327952321058113</v>
      </c>
      <c r="K29" s="1">
        <f>180 - ACOS(C29/D29)*180/PI()</f>
        <v>36.67204767894188</v>
      </c>
    </row>
    <row r="30" spans="1:15" x14ac:dyDescent="0.2">
      <c r="B30" s="1">
        <v>9.17</v>
      </c>
      <c r="C30" s="1">
        <v>-12.65</v>
      </c>
      <c r="D30" s="1">
        <f>SQRT((POWER(B30,2))+(POWER(C30,2)))</f>
        <v>15.624064772011156</v>
      </c>
      <c r="E30" s="1">
        <v>15</v>
      </c>
      <c r="G30" s="1">
        <f>ACOS(B30/15.62049935)*180/PI()</f>
        <v>54.052118563647404</v>
      </c>
      <c r="H30" s="1">
        <f>180 - ACOS(C30/15.62049935)*180/PI()</f>
        <v>35.920355779523675</v>
      </c>
      <c r="I30" s="1">
        <f t="shared" si="8"/>
        <v>89.972474343171086</v>
      </c>
      <c r="J30" s="1">
        <f>ACOS(B30/D30)*180/PI()</f>
        <v>54.061599331669292</v>
      </c>
      <c r="K30" s="1">
        <f>180 - ACOS(C30/D30)*180/PI()</f>
        <v>35.938400668330701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2022-08-10T18:46:54Z</dcterms:created>
  <dcterms:modified xsi:type="dcterms:W3CDTF">2022-08-11T19:22:09Z</dcterms:modified>
</cp:coreProperties>
</file>