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695" windowHeight="12630" activeTab="6"/>
  </bookViews>
  <sheets>
    <sheet name="封面" sheetId="1" r:id="rId1"/>
    <sheet name="目录" sheetId="2" r:id="rId2"/>
    <sheet name="收入明细" sheetId="3" r:id="rId3"/>
    <sheet name="销售经营分析" sheetId="15" r:id="rId4"/>
    <sheet name="支出明细" sheetId="4" r:id="rId5"/>
    <sheet name="现金流量表" sheetId="5" r:id="rId6"/>
    <sheet name="利润" sheetId="6" r:id="rId7"/>
    <sheet name="商品部" sheetId="7" r:id="rId8"/>
    <sheet name="资产状况" sheetId="9" r:id="rId9"/>
    <sheet name="超支与增长的注释" sheetId="10" r:id="rId10"/>
    <sheet name="计划与实际图表" sheetId="11" r:id="rId11"/>
    <sheet name="资产负债简表预测" sheetId="12" r:id="rId12"/>
    <sheet name="资金峰值预测" sheetId="13" r:id="rId13"/>
    <sheet name="2017年度大事件述职" sheetId="14" r:id="rId14"/>
  </sheets>
  <calcPr calcId="125725"/>
</workbook>
</file>

<file path=xl/calcChain.xml><?xml version="1.0" encoding="utf-8"?>
<calcChain xmlns="http://schemas.openxmlformats.org/spreadsheetml/2006/main">
  <c r="N8" i="6"/>
  <c r="N9"/>
  <c r="Q8"/>
  <c r="K16" i="15"/>
  <c r="F16"/>
  <c r="C16"/>
  <c r="B16"/>
  <c r="E15"/>
  <c r="E16" s="1"/>
  <c r="D15"/>
  <c r="D16" s="1"/>
  <c r="E14"/>
  <c r="D14"/>
  <c r="F11"/>
  <c r="C11"/>
  <c r="B11"/>
  <c r="E10"/>
  <c r="E11" s="1"/>
  <c r="D10"/>
  <c r="D11" s="1"/>
  <c r="E9"/>
  <c r="D9"/>
  <c r="D4"/>
  <c r="E4"/>
  <c r="D5"/>
  <c r="E5"/>
  <c r="E3"/>
  <c r="D3"/>
  <c r="C6"/>
  <c r="B6"/>
  <c r="F6" s="1"/>
  <c r="F5"/>
  <c r="F4"/>
  <c r="F3"/>
  <c r="B42" i="12" l="1"/>
  <c r="F41"/>
  <c r="E39"/>
  <c r="B39"/>
  <c r="F35"/>
  <c r="C35"/>
  <c r="F34"/>
  <c r="F39" s="1"/>
  <c r="C34"/>
  <c r="C33"/>
  <c r="C39" s="1"/>
  <c r="D42" l="1"/>
  <c r="P24" i="3" l="1"/>
  <c r="P22"/>
  <c r="P20"/>
  <c r="P18"/>
  <c r="P16"/>
  <c r="K32" i="7"/>
  <c r="K33"/>
  <c r="K34"/>
  <c r="K35"/>
  <c r="K37"/>
  <c r="K38"/>
  <c r="K39"/>
  <c r="K40"/>
  <c r="K41"/>
  <c r="K31"/>
  <c r="J32"/>
  <c r="J33"/>
  <c r="J34"/>
  <c r="J35"/>
  <c r="J31"/>
  <c r="E41"/>
  <c r="I35" s="1"/>
  <c r="E35"/>
  <c r="I32"/>
  <c r="I33"/>
  <c r="I34"/>
  <c r="I31"/>
  <c r="H32"/>
  <c r="H33"/>
  <c r="H34"/>
  <c r="H35"/>
  <c r="H31"/>
  <c r="U15" i="13"/>
  <c r="H15"/>
  <c r="H4"/>
  <c r="H5"/>
  <c r="H6"/>
  <c r="H7"/>
  <c r="H8"/>
  <c r="H9"/>
  <c r="H10"/>
  <c r="H11"/>
  <c r="H12"/>
  <c r="H13"/>
  <c r="H14"/>
  <c r="H3"/>
  <c r="L15"/>
  <c r="S15" s="1"/>
  <c r="K15"/>
  <c r="D15"/>
  <c r="F15" s="1"/>
  <c r="C15"/>
  <c r="B15"/>
  <c r="G15" s="1"/>
  <c r="S14"/>
  <c r="R14"/>
  <c r="M14"/>
  <c r="G14"/>
  <c r="F14"/>
  <c r="E14"/>
  <c r="S13"/>
  <c r="R13"/>
  <c r="M13"/>
  <c r="G13"/>
  <c r="F13"/>
  <c r="E13"/>
  <c r="S12"/>
  <c r="R12"/>
  <c r="N12"/>
  <c r="O12" s="1"/>
  <c r="U12" s="1"/>
  <c r="M12"/>
  <c r="G12"/>
  <c r="F12"/>
  <c r="E12"/>
  <c r="S11"/>
  <c r="R11"/>
  <c r="M11"/>
  <c r="G11"/>
  <c r="F11"/>
  <c r="E11"/>
  <c r="S10"/>
  <c r="R10"/>
  <c r="M10"/>
  <c r="G10"/>
  <c r="F10"/>
  <c r="E10"/>
  <c r="S9"/>
  <c r="R9"/>
  <c r="M9"/>
  <c r="G9"/>
  <c r="F9"/>
  <c r="E9"/>
  <c r="S8"/>
  <c r="R8"/>
  <c r="N8"/>
  <c r="O8" s="1"/>
  <c r="U8" s="1"/>
  <c r="M8"/>
  <c r="G8"/>
  <c r="F8"/>
  <c r="E8"/>
  <c r="S7"/>
  <c r="R7"/>
  <c r="M7"/>
  <c r="G7"/>
  <c r="F7"/>
  <c r="E7"/>
  <c r="S6"/>
  <c r="R6"/>
  <c r="M6"/>
  <c r="G6"/>
  <c r="F6"/>
  <c r="E6"/>
  <c r="S5"/>
  <c r="R5"/>
  <c r="N5"/>
  <c r="O5" s="1"/>
  <c r="U5" s="1"/>
  <c r="M5"/>
  <c r="G5"/>
  <c r="F5"/>
  <c r="E5"/>
  <c r="S4"/>
  <c r="R4"/>
  <c r="N4"/>
  <c r="O4" s="1"/>
  <c r="U4" s="1"/>
  <c r="M4"/>
  <c r="G4"/>
  <c r="F4"/>
  <c r="E4"/>
  <c r="S3"/>
  <c r="R3"/>
  <c r="M3"/>
  <c r="G3"/>
  <c r="F3"/>
  <c r="E3"/>
  <c r="B28" i="12"/>
  <c r="F27"/>
  <c r="E25"/>
  <c r="B25"/>
  <c r="F21"/>
  <c r="C21"/>
  <c r="F20"/>
  <c r="F25" s="1"/>
  <c r="C20"/>
  <c r="C19"/>
  <c r="B12"/>
  <c r="F11"/>
  <c r="E9"/>
  <c r="B9"/>
  <c r="F5"/>
  <c r="C5"/>
  <c r="F4"/>
  <c r="C4"/>
  <c r="C3"/>
  <c r="E3" i="11"/>
  <c r="D8"/>
  <c r="C8"/>
  <c r="O20" i="4"/>
  <c r="O11"/>
  <c r="O14"/>
  <c r="O5"/>
  <c r="T10" i="13" l="1"/>
  <c r="N3"/>
  <c r="O3" s="1"/>
  <c r="U3" s="1"/>
  <c r="T5"/>
  <c r="N7"/>
  <c r="O7" s="1"/>
  <c r="U7" s="1"/>
  <c r="N11"/>
  <c r="O11" s="1"/>
  <c r="U11" s="1"/>
  <c r="T3"/>
  <c r="T7"/>
  <c r="N9"/>
  <c r="O9" s="1"/>
  <c r="U9" s="1"/>
  <c r="T11"/>
  <c r="T4"/>
  <c r="N6"/>
  <c r="O6" s="1"/>
  <c r="U6" s="1"/>
  <c r="T8"/>
  <c r="N10"/>
  <c r="O10" s="1"/>
  <c r="U10" s="1"/>
  <c r="T12"/>
  <c r="N15"/>
  <c r="T15"/>
  <c r="N14"/>
  <c r="M15"/>
  <c r="N13"/>
  <c r="E15"/>
  <c r="R15"/>
  <c r="C25" i="12"/>
  <c r="D28"/>
  <c r="C9"/>
  <c r="F9"/>
  <c r="Q11" i="6"/>
  <c r="C63" i="5"/>
  <c r="E63"/>
  <c r="T13" i="13" l="1"/>
  <c r="O13"/>
  <c r="U13" s="1"/>
  <c r="T6"/>
  <c r="T14"/>
  <c r="O14"/>
  <c r="U14" s="1"/>
  <c r="T9"/>
  <c r="D12" i="12"/>
  <c r="N6" i="4"/>
  <c r="M11" i="6" s="1"/>
  <c r="O24" i="4"/>
  <c r="C7" i="5"/>
  <c r="C14"/>
  <c r="C18"/>
  <c r="C21"/>
  <c r="C24"/>
  <c r="C28"/>
  <c r="C33"/>
  <c r="C44"/>
  <c r="C49"/>
  <c r="D61"/>
  <c r="B7" i="6"/>
  <c r="C7"/>
  <c r="C9" s="1"/>
  <c r="C10" s="1"/>
  <c r="D7"/>
  <c r="D9" s="1"/>
  <c r="D10" s="1"/>
  <c r="E7"/>
  <c r="F7"/>
  <c r="G7"/>
  <c r="G9" s="1"/>
  <c r="G10" s="1"/>
  <c r="H7"/>
  <c r="H9" s="1"/>
  <c r="H10" s="1"/>
  <c r="I7"/>
  <c r="I9" s="1"/>
  <c r="I10" s="1"/>
  <c r="J7"/>
  <c r="J9" s="1"/>
  <c r="J10" s="1"/>
  <c r="K7"/>
  <c r="K9" s="1"/>
  <c r="K10" s="1"/>
  <c r="L7"/>
  <c r="L9" s="1"/>
  <c r="L10" s="1"/>
  <c r="M7"/>
  <c r="M9" s="1"/>
  <c r="M10" s="1"/>
  <c r="R8"/>
  <c r="C6" i="4"/>
  <c r="B11" i="6" s="1"/>
  <c r="D6" i="4"/>
  <c r="C11" i="6"/>
  <c r="E6" i="4"/>
  <c r="D11" i="6" s="1"/>
  <c r="F6" i="4"/>
  <c r="G6"/>
  <c r="F11" i="6" s="1"/>
  <c r="H6" i="4"/>
  <c r="G11" i="6" s="1"/>
  <c r="I6" i="4"/>
  <c r="H11" i="6" s="1"/>
  <c r="J6" i="4"/>
  <c r="I11" i="6" s="1"/>
  <c r="K6" i="4"/>
  <c r="J11" i="6" s="1"/>
  <c r="L6" i="4"/>
  <c r="K11" i="6" s="1"/>
  <c r="M6" i="4"/>
  <c r="L11" i="6" s="1"/>
  <c r="E62" i="5"/>
  <c r="E61"/>
  <c r="O21" i="4"/>
  <c r="O18"/>
  <c r="O12"/>
  <c r="E42" i="5"/>
  <c r="D4" i="9"/>
  <c r="F6" s="1"/>
  <c r="C4"/>
  <c r="C3"/>
  <c r="C13"/>
  <c r="E6"/>
  <c r="E5" i="7"/>
  <c r="E15" s="1"/>
  <c r="E10"/>
  <c r="C5"/>
  <c r="C10"/>
  <c r="C15"/>
  <c r="D5"/>
  <c r="D15" s="1"/>
  <c r="D10"/>
  <c r="B5"/>
  <c r="F5" s="1"/>
  <c r="B10"/>
  <c r="G13"/>
  <c r="F13"/>
  <c r="G12"/>
  <c r="F12"/>
  <c r="G11"/>
  <c r="F11"/>
  <c r="G10"/>
  <c r="F10"/>
  <c r="G9"/>
  <c r="F9"/>
  <c r="G8"/>
  <c r="F8"/>
  <c r="G7"/>
  <c r="F7"/>
  <c r="G6"/>
  <c r="F6"/>
  <c r="G25" i="6"/>
  <c r="E25"/>
  <c r="D24"/>
  <c r="G24" s="1"/>
  <c r="G23"/>
  <c r="G22"/>
  <c r="F9"/>
  <c r="F10" s="1"/>
  <c r="E9"/>
  <c r="E10" s="1"/>
  <c r="B9"/>
  <c r="B10" s="1"/>
  <c r="E60" i="5"/>
  <c r="E58"/>
  <c r="E56"/>
  <c r="E55"/>
  <c r="E54"/>
  <c r="E53"/>
  <c r="E52"/>
  <c r="E51"/>
  <c r="E50"/>
  <c r="E49"/>
  <c r="E47"/>
  <c r="E46"/>
  <c r="E45"/>
  <c r="E44"/>
  <c r="E43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O27" i="4"/>
  <c r="O28"/>
  <c r="N28"/>
  <c r="M28"/>
  <c r="L28"/>
  <c r="K28"/>
  <c r="J28"/>
  <c r="I28"/>
  <c r="H28"/>
  <c r="G28"/>
  <c r="F28"/>
  <c r="E28"/>
  <c r="D28"/>
  <c r="C28"/>
  <c r="Q27"/>
  <c r="Q26"/>
  <c r="P26"/>
  <c r="O25"/>
  <c r="N25"/>
  <c r="M25"/>
  <c r="L25"/>
  <c r="K25"/>
  <c r="J25"/>
  <c r="I25"/>
  <c r="H25"/>
  <c r="G25"/>
  <c r="F25"/>
  <c r="E25"/>
  <c r="D25"/>
  <c r="C25"/>
  <c r="Q24"/>
  <c r="Q23"/>
  <c r="P23"/>
  <c r="O22"/>
  <c r="N22"/>
  <c r="M22"/>
  <c r="L22"/>
  <c r="K22"/>
  <c r="J22"/>
  <c r="I22"/>
  <c r="H22"/>
  <c r="G22"/>
  <c r="F22"/>
  <c r="E22"/>
  <c r="D22"/>
  <c r="C22"/>
  <c r="Q21"/>
  <c r="Q20"/>
  <c r="P20"/>
  <c r="O19"/>
  <c r="N19"/>
  <c r="M19"/>
  <c r="L19"/>
  <c r="K19"/>
  <c r="J19"/>
  <c r="I19"/>
  <c r="H19"/>
  <c r="G19"/>
  <c r="F19"/>
  <c r="E19"/>
  <c r="D19"/>
  <c r="C19"/>
  <c r="Q18"/>
  <c r="Q17"/>
  <c r="P17"/>
  <c r="N16"/>
  <c r="M16"/>
  <c r="L16"/>
  <c r="K16"/>
  <c r="J16"/>
  <c r="I16"/>
  <c r="H16"/>
  <c r="G16"/>
  <c r="F16"/>
  <c r="E16"/>
  <c r="D16"/>
  <c r="C16"/>
  <c r="O15"/>
  <c r="O16" s="1"/>
  <c r="Q14"/>
  <c r="P14"/>
  <c r="O13"/>
  <c r="N13"/>
  <c r="M13"/>
  <c r="L13"/>
  <c r="K13"/>
  <c r="J13"/>
  <c r="I13"/>
  <c r="H13"/>
  <c r="G13"/>
  <c r="F13"/>
  <c r="E13"/>
  <c r="D13"/>
  <c r="C13"/>
  <c r="Q12"/>
  <c r="Q11"/>
  <c r="P11"/>
  <c r="O10"/>
  <c r="N10"/>
  <c r="M10"/>
  <c r="L10"/>
  <c r="K10"/>
  <c r="J10"/>
  <c r="I10"/>
  <c r="H10"/>
  <c r="G10"/>
  <c r="F10"/>
  <c r="E10"/>
  <c r="D10"/>
  <c r="C10"/>
  <c r="Q9"/>
  <c r="Q8"/>
  <c r="P8"/>
  <c r="Q5"/>
  <c r="C24" i="3"/>
  <c r="D24"/>
  <c r="E24"/>
  <c r="F24"/>
  <c r="G24"/>
  <c r="H24"/>
  <c r="I24"/>
  <c r="J24"/>
  <c r="K24"/>
  <c r="L24"/>
  <c r="M24"/>
  <c r="N24"/>
  <c r="O24"/>
  <c r="O22"/>
  <c r="O21"/>
  <c r="O20"/>
  <c r="O19"/>
  <c r="O18"/>
  <c r="O17"/>
  <c r="O16"/>
  <c r="O15"/>
  <c r="O6"/>
  <c r="O8"/>
  <c r="O10"/>
  <c r="O12"/>
  <c r="O14"/>
  <c r="P14"/>
  <c r="N14"/>
  <c r="M14"/>
  <c r="L14"/>
  <c r="K14"/>
  <c r="J14"/>
  <c r="I14"/>
  <c r="H14"/>
  <c r="G14"/>
  <c r="F14"/>
  <c r="E14"/>
  <c r="D14"/>
  <c r="C14"/>
  <c r="O5"/>
  <c r="O7"/>
  <c r="O9"/>
  <c r="O11"/>
  <c r="O13"/>
  <c r="P13"/>
  <c r="N13"/>
  <c r="M13"/>
  <c r="L13"/>
  <c r="K13"/>
  <c r="J13"/>
  <c r="I13"/>
  <c r="H13"/>
  <c r="G13"/>
  <c r="F13"/>
  <c r="E13"/>
  <c r="D13"/>
  <c r="C13"/>
  <c r="P12"/>
  <c r="P11"/>
  <c r="P10"/>
  <c r="P9"/>
  <c r="P8"/>
  <c r="P7"/>
  <c r="P6"/>
  <c r="P5"/>
  <c r="E7" i="5"/>
  <c r="D47"/>
  <c r="D42"/>
  <c r="D46"/>
  <c r="D54"/>
  <c r="D22"/>
  <c r="D21"/>
  <c r="D31"/>
  <c r="D15"/>
  <c r="D28"/>
  <c r="D60"/>
  <c r="D50"/>
  <c r="D35"/>
  <c r="D12"/>
  <c r="D30"/>
  <c r="D53"/>
  <c r="D40"/>
  <c r="D25"/>
  <c r="D13"/>
  <c r="D24"/>
  <c r="D39"/>
  <c r="D26"/>
  <c r="D8"/>
  <c r="D58"/>
  <c r="D49"/>
  <c r="D36"/>
  <c r="D7"/>
  <c r="D11"/>
  <c r="D29"/>
  <c r="C64"/>
  <c r="D23"/>
  <c r="D56"/>
  <c r="D41"/>
  <c r="D33"/>
  <c r="D10"/>
  <c r="D16"/>
  <c r="D51"/>
  <c r="D38"/>
  <c r="D20"/>
  <c r="D9"/>
  <c r="D45"/>
  <c r="D17"/>
  <c r="D32"/>
  <c r="D14"/>
  <c r="D52"/>
  <c r="D37"/>
  <c r="D19"/>
  <c r="D44"/>
  <c r="D55"/>
  <c r="D43"/>
  <c r="D34"/>
  <c r="D18"/>
  <c r="D27"/>
  <c r="G15" i="7" l="1"/>
  <c r="G5"/>
  <c r="N7" i="6"/>
  <c r="D12"/>
  <c r="D13" s="1"/>
  <c r="K12"/>
  <c r="K13" s="1"/>
  <c r="G12"/>
  <c r="G13" s="1"/>
  <c r="C12"/>
  <c r="C13" s="1"/>
  <c r="M12"/>
  <c r="M13" s="1"/>
  <c r="L12"/>
  <c r="L13" s="1"/>
  <c r="H12"/>
  <c r="H13" s="1"/>
  <c r="I12"/>
  <c r="I13" s="1"/>
  <c r="J12"/>
  <c r="J13" s="1"/>
  <c r="F12"/>
  <c r="F13" s="1"/>
  <c r="O6" i="4"/>
  <c r="P18" s="1"/>
  <c r="Q15"/>
  <c r="E11" i="6"/>
  <c r="E12" s="1"/>
  <c r="E13" s="1"/>
  <c r="B12"/>
  <c r="B13" s="1"/>
  <c r="D62" i="5"/>
  <c r="D3" i="9"/>
  <c r="D13" s="1"/>
  <c r="B15" i="7"/>
  <c r="F15" s="1"/>
  <c r="O8" i="6" l="1"/>
  <c r="R7"/>
  <c r="N10"/>
  <c r="N11"/>
  <c r="O7" i="4"/>
  <c r="P12"/>
  <c r="Q6"/>
  <c r="P27"/>
  <c r="P24"/>
  <c r="P9"/>
  <c r="P15"/>
  <c r="P21"/>
  <c r="N12" i="6" l="1"/>
  <c r="R12" s="1"/>
  <c r="O11"/>
  <c r="R9"/>
  <c r="R11"/>
  <c r="R10"/>
  <c r="C22"/>
  <c r="E22" s="1"/>
  <c r="C24" l="1"/>
  <c r="E24" s="1"/>
  <c r="N13"/>
  <c r="C23" s="1"/>
  <c r="E23" s="1"/>
  <c r="N7" i="4"/>
  <c r="D7"/>
  <c r="L7"/>
  <c r="E7"/>
  <c r="H7"/>
  <c r="I7"/>
  <c r="M7"/>
  <c r="C7"/>
  <c r="G7"/>
  <c r="J7"/>
  <c r="K7"/>
  <c r="F7"/>
  <c r="R13" i="6" l="1"/>
</calcChain>
</file>

<file path=xl/comments1.xml><?xml version="1.0" encoding="utf-8"?>
<comments xmlns="http://schemas.openxmlformats.org/spreadsheetml/2006/main">
  <authors>
    <author>作者</author>
  </authors>
  <commentList>
    <comment ref="D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收入扣除商场扣点后未扣商场费用数</t>
        </r>
      </text>
    </comment>
  </commentList>
</comments>
</file>

<file path=xl/sharedStrings.xml><?xml version="1.0" encoding="utf-8"?>
<sst xmlns="http://schemas.openxmlformats.org/spreadsheetml/2006/main" count="636" uniqueCount="437">
  <si>
    <t>杭州申米服饰有限公司</t>
  </si>
  <si>
    <t>Hangzhou Shen rice Clothing Co., Ltd.</t>
  </si>
  <si>
    <t xml:space="preserve"> 年 度 总 结</t>
  </si>
  <si>
    <t>________________________________</t>
  </si>
  <si>
    <t xml:space="preserve"> Alexca Li- General Manager</t>
  </si>
  <si>
    <t>Jojo Jin - Financial Assistant manager</t>
  </si>
  <si>
    <t>2017.1--2017.12</t>
  </si>
  <si>
    <r>
      <rPr>
        <b/>
        <sz val="11"/>
        <rFont val="Arial"/>
        <family val="2"/>
      </rPr>
      <t xml:space="preserve">INDEX  </t>
    </r>
    <r>
      <rPr>
        <b/>
        <sz val="11"/>
        <rFont val="宋体"/>
        <family val="3"/>
        <charset val="134"/>
      </rPr>
      <t>目录</t>
    </r>
  </si>
  <si>
    <r>
      <rPr>
        <b/>
        <sz val="10"/>
        <rFont val="Arial"/>
        <family val="2"/>
      </rPr>
      <t xml:space="preserve">Page </t>
    </r>
    <r>
      <rPr>
        <b/>
        <sz val="10"/>
        <rFont val="宋体"/>
        <family val="3"/>
        <charset val="134"/>
      </rPr>
      <t>页码</t>
    </r>
  </si>
  <si>
    <t>Assumptions and Explanatory Notes / 附注说明</t>
  </si>
  <si>
    <t xml:space="preserve">    财务部工作</t>
  </si>
  <si>
    <t xml:space="preserve">    现金流</t>
  </si>
  <si>
    <t xml:space="preserve">        收入明细</t>
  </si>
  <si>
    <t xml:space="preserve">        支出明细</t>
  </si>
  <si>
    <t xml:space="preserve">        现金流量表</t>
  </si>
  <si>
    <t xml:space="preserve">        利润</t>
  </si>
  <si>
    <t xml:space="preserve">    商品部工作</t>
  </si>
  <si>
    <t>经营总结：</t>
  </si>
  <si>
    <t xml:space="preserve">    本核算期：2017.1.1-2017.12.31;</t>
  </si>
  <si>
    <t xml:space="preserve">    销售业绩:   8243.9万元    未达标（相差756.1万）</t>
  </si>
  <si>
    <t>X-MOOM  营业收入</t>
  </si>
  <si>
    <t>结算年度  2017.1-12</t>
  </si>
  <si>
    <r>
      <rPr>
        <b/>
        <sz val="9"/>
        <rFont val="宋体"/>
        <family val="3"/>
        <charset val="134"/>
      </rPr>
      <t>项</t>
    </r>
    <r>
      <rPr>
        <b/>
        <sz val="9"/>
        <rFont val="Arial"/>
        <family val="2"/>
      </rPr>
      <t xml:space="preserve">      </t>
    </r>
    <r>
      <rPr>
        <b/>
        <sz val="9"/>
        <rFont val="宋体"/>
        <family val="3"/>
        <charset val="134"/>
      </rPr>
      <t>目</t>
    </r>
  </si>
  <si>
    <t>同期</t>
  </si>
  <si>
    <r>
      <rPr>
        <b/>
        <sz val="9"/>
        <rFont val="Arial"/>
        <family val="2"/>
      </rPr>
      <t>1</t>
    </r>
    <r>
      <rPr>
        <b/>
        <sz val="9"/>
        <rFont val="宋体"/>
        <family val="3"/>
        <charset val="134"/>
      </rPr>
      <t>月份</t>
    </r>
  </si>
  <si>
    <r>
      <rPr>
        <b/>
        <sz val="9"/>
        <rFont val="Arial"/>
        <family val="2"/>
      </rPr>
      <t>2</t>
    </r>
    <r>
      <rPr>
        <b/>
        <sz val="9"/>
        <rFont val="宋体"/>
        <family val="3"/>
        <charset val="134"/>
      </rPr>
      <t>月份</t>
    </r>
  </si>
  <si>
    <r>
      <rPr>
        <b/>
        <sz val="9"/>
        <rFont val="Arial"/>
        <family val="2"/>
      </rPr>
      <t>3</t>
    </r>
    <r>
      <rPr>
        <b/>
        <sz val="9"/>
        <rFont val="宋体"/>
        <family val="3"/>
        <charset val="134"/>
      </rPr>
      <t>月份</t>
    </r>
  </si>
  <si>
    <r>
      <rPr>
        <b/>
        <sz val="9"/>
        <rFont val="Arial"/>
        <family val="2"/>
      </rPr>
      <t>4</t>
    </r>
    <r>
      <rPr>
        <b/>
        <sz val="9"/>
        <rFont val="宋体"/>
        <family val="3"/>
        <charset val="134"/>
      </rPr>
      <t>月份</t>
    </r>
  </si>
  <si>
    <r>
      <rPr>
        <b/>
        <sz val="9"/>
        <rFont val="Arial"/>
        <family val="2"/>
      </rPr>
      <t>5</t>
    </r>
    <r>
      <rPr>
        <b/>
        <sz val="9"/>
        <rFont val="宋体"/>
        <family val="3"/>
        <charset val="134"/>
      </rPr>
      <t>月份</t>
    </r>
  </si>
  <si>
    <r>
      <rPr>
        <b/>
        <sz val="9"/>
        <rFont val="Arial"/>
        <family val="2"/>
      </rPr>
      <t>6</t>
    </r>
    <r>
      <rPr>
        <b/>
        <sz val="9"/>
        <rFont val="宋体"/>
        <family val="3"/>
        <charset val="134"/>
      </rPr>
      <t>月份</t>
    </r>
  </si>
  <si>
    <r>
      <rPr>
        <b/>
        <sz val="9"/>
        <rFont val="Arial"/>
        <family val="2"/>
      </rPr>
      <t>7</t>
    </r>
    <r>
      <rPr>
        <b/>
        <sz val="9"/>
        <rFont val="宋体"/>
        <family val="3"/>
        <charset val="134"/>
      </rPr>
      <t>月份</t>
    </r>
  </si>
  <si>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</t>
    </r>
  </si>
  <si>
    <r>
      <rPr>
        <b/>
        <sz val="9"/>
        <rFont val="Arial"/>
        <family val="2"/>
      </rPr>
      <t>9</t>
    </r>
    <r>
      <rPr>
        <b/>
        <sz val="9"/>
        <rFont val="宋体"/>
        <family val="3"/>
        <charset val="134"/>
      </rPr>
      <t>月份</t>
    </r>
  </si>
  <si>
    <r>
      <rPr>
        <b/>
        <sz val="9"/>
        <rFont val="Arial"/>
        <family val="2"/>
      </rPr>
      <t>10</t>
    </r>
    <r>
      <rPr>
        <b/>
        <sz val="9"/>
        <rFont val="宋体"/>
        <family val="3"/>
        <charset val="134"/>
      </rPr>
      <t>月份</t>
    </r>
  </si>
  <si>
    <r>
      <rPr>
        <b/>
        <sz val="9"/>
        <rFont val="Arial"/>
        <family val="2"/>
      </rPr>
      <t>11</t>
    </r>
    <r>
      <rPr>
        <b/>
        <sz val="9"/>
        <rFont val="宋体"/>
        <family val="3"/>
        <charset val="134"/>
      </rPr>
      <t>月份</t>
    </r>
  </si>
  <si>
    <r>
      <rPr>
        <b/>
        <sz val="9"/>
        <rFont val="Arial"/>
        <family val="2"/>
      </rPr>
      <t>12</t>
    </r>
    <r>
      <rPr>
        <b/>
        <sz val="9"/>
        <rFont val="宋体"/>
        <family val="3"/>
        <charset val="134"/>
      </rPr>
      <t>月份</t>
    </r>
  </si>
  <si>
    <t>合计</t>
  </si>
  <si>
    <r>
      <rPr>
        <b/>
        <sz val="9"/>
        <rFont val="宋体"/>
        <family val="3"/>
        <charset val="134"/>
      </rPr>
      <t>平均值</t>
    </r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</si>
  <si>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</si>
  <si>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</si>
  <si>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</si>
  <si>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</si>
  <si>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</si>
  <si>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</si>
  <si>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</si>
  <si>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</si>
  <si>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</si>
  <si>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</si>
  <si>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</si>
  <si>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</si>
  <si>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</si>
  <si>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</t>
  </si>
  <si>
    <t xml:space="preserve">      正价店铺数量</t>
  </si>
  <si>
    <t xml:space="preserve">      奥莱店铺数量</t>
  </si>
  <si>
    <t xml:space="preserve">      代理商数量</t>
  </si>
  <si>
    <t xml:space="preserve">      临场特卖数量</t>
  </si>
  <si>
    <t>Total:</t>
  </si>
  <si>
    <t xml:space="preserve">      正价营业回款</t>
  </si>
  <si>
    <t xml:space="preserve">      奥莱营业回款</t>
  </si>
  <si>
    <t xml:space="preserve">      代理营业回款</t>
  </si>
  <si>
    <t xml:space="preserve">      临场特卖回款</t>
  </si>
  <si>
    <t>单位：元</t>
  </si>
  <si>
    <t>附注说明：</t>
  </si>
  <si>
    <t>X-MOOM  费用支出</t>
  </si>
  <si>
    <r>
      <rPr>
        <b/>
        <sz val="11"/>
        <rFont val="宋体"/>
        <family val="3"/>
        <charset val="134"/>
      </rPr>
      <t>结算年度  201</t>
    </r>
    <r>
      <rPr>
        <b/>
        <sz val="11"/>
        <rFont val="宋体"/>
        <family val="3"/>
        <charset val="134"/>
      </rPr>
      <t>7</t>
    </r>
    <r>
      <rPr>
        <b/>
        <sz val="11"/>
        <rFont val="宋体"/>
        <family val="3"/>
        <charset val="134"/>
      </rPr>
      <t>.1-12</t>
    </r>
  </si>
  <si>
    <r>
      <rPr>
        <b/>
        <sz val="12"/>
        <rFont val="宋体"/>
        <family val="3"/>
        <charset val="134"/>
      </rPr>
      <t>项</t>
    </r>
    <r>
      <rPr>
        <b/>
        <sz val="12"/>
        <rFont val="Arial"/>
        <family val="2"/>
      </rPr>
      <t xml:space="preserve">      </t>
    </r>
    <r>
      <rPr>
        <b/>
        <sz val="12"/>
        <rFont val="宋体"/>
        <family val="3"/>
        <charset val="134"/>
      </rPr>
      <t>目</t>
    </r>
  </si>
  <si>
    <r>
      <rPr>
        <b/>
        <sz val="10"/>
        <rFont val="Arial"/>
        <family val="2"/>
      </rPr>
      <t>1</t>
    </r>
    <r>
      <rPr>
        <b/>
        <sz val="10"/>
        <rFont val="宋体"/>
        <family val="3"/>
        <charset val="134"/>
      </rPr>
      <t>月份</t>
    </r>
  </si>
  <si>
    <r>
      <rPr>
        <b/>
        <sz val="10"/>
        <rFont val="Arial"/>
        <family val="2"/>
      </rPr>
      <t>2</t>
    </r>
    <r>
      <rPr>
        <b/>
        <sz val="10"/>
        <rFont val="宋体"/>
        <family val="3"/>
        <charset val="134"/>
      </rPr>
      <t>月份</t>
    </r>
  </si>
  <si>
    <r>
      <rPr>
        <b/>
        <sz val="10"/>
        <rFont val="Arial"/>
        <family val="2"/>
      </rPr>
      <t>3</t>
    </r>
    <r>
      <rPr>
        <b/>
        <sz val="10"/>
        <rFont val="宋体"/>
        <family val="3"/>
        <charset val="134"/>
      </rPr>
      <t>月份</t>
    </r>
  </si>
  <si>
    <r>
      <rPr>
        <b/>
        <sz val="10"/>
        <rFont val="Arial"/>
        <family val="2"/>
      </rPr>
      <t>4</t>
    </r>
    <r>
      <rPr>
        <b/>
        <sz val="10"/>
        <rFont val="宋体"/>
        <family val="3"/>
        <charset val="134"/>
      </rPr>
      <t>月份</t>
    </r>
  </si>
  <si>
    <r>
      <rPr>
        <b/>
        <sz val="10"/>
        <rFont val="Arial"/>
        <family val="2"/>
      </rPr>
      <t>5</t>
    </r>
    <r>
      <rPr>
        <b/>
        <sz val="10"/>
        <rFont val="宋体"/>
        <family val="3"/>
        <charset val="134"/>
      </rPr>
      <t>月份</t>
    </r>
  </si>
  <si>
    <r>
      <rPr>
        <b/>
        <sz val="10"/>
        <rFont val="Arial"/>
        <family val="2"/>
      </rPr>
      <t>6</t>
    </r>
    <r>
      <rPr>
        <b/>
        <sz val="10"/>
        <rFont val="宋体"/>
        <family val="3"/>
        <charset val="134"/>
      </rPr>
      <t>月份</t>
    </r>
  </si>
  <si>
    <r>
      <rPr>
        <b/>
        <sz val="10"/>
        <rFont val="Arial"/>
        <family val="2"/>
      </rPr>
      <t>7</t>
    </r>
    <r>
      <rPr>
        <b/>
        <sz val="10"/>
        <rFont val="宋体"/>
        <family val="3"/>
        <charset val="134"/>
      </rPr>
      <t>月份</t>
    </r>
  </si>
  <si>
    <r>
      <rPr>
        <b/>
        <sz val="10"/>
        <rFont val="Arial"/>
        <family val="2"/>
      </rPr>
      <t>8</t>
    </r>
    <r>
      <rPr>
        <b/>
        <sz val="10"/>
        <rFont val="宋体"/>
        <family val="3"/>
        <charset val="134"/>
      </rPr>
      <t>月份</t>
    </r>
  </si>
  <si>
    <r>
      <rPr>
        <b/>
        <sz val="10"/>
        <rFont val="Arial"/>
        <family val="2"/>
      </rPr>
      <t>9</t>
    </r>
    <r>
      <rPr>
        <b/>
        <sz val="10"/>
        <rFont val="宋体"/>
        <family val="3"/>
        <charset val="134"/>
      </rPr>
      <t>月份</t>
    </r>
  </si>
  <si>
    <r>
      <rPr>
        <b/>
        <sz val="10"/>
        <rFont val="Arial"/>
        <family val="2"/>
      </rPr>
      <t>10</t>
    </r>
    <r>
      <rPr>
        <b/>
        <sz val="10"/>
        <rFont val="宋体"/>
        <family val="3"/>
        <charset val="134"/>
      </rPr>
      <t>月份</t>
    </r>
  </si>
  <si>
    <r>
      <rPr>
        <b/>
        <sz val="10"/>
        <rFont val="Arial"/>
        <family val="2"/>
      </rPr>
      <t>11</t>
    </r>
    <r>
      <rPr>
        <b/>
        <sz val="10"/>
        <rFont val="宋体"/>
        <family val="3"/>
        <charset val="134"/>
      </rPr>
      <t>月份</t>
    </r>
  </si>
  <si>
    <r>
      <rPr>
        <b/>
        <sz val="10"/>
        <rFont val="Arial"/>
        <family val="2"/>
      </rPr>
      <t>12</t>
    </r>
    <r>
      <rPr>
        <b/>
        <sz val="10"/>
        <rFont val="宋体"/>
        <family val="3"/>
        <charset val="134"/>
      </rPr>
      <t>月份</t>
    </r>
  </si>
  <si>
    <t>各项费用占比</t>
  </si>
  <si>
    <t>收入占比</t>
  </si>
  <si>
    <t>各部门费用支出</t>
  </si>
  <si>
    <t>计划使用</t>
  </si>
  <si>
    <t>实际使用</t>
  </si>
  <si>
    <t>差值</t>
  </si>
  <si>
    <t>开发部支出</t>
  </si>
  <si>
    <t>营销部（奥莱）</t>
  </si>
  <si>
    <t>生产部支出</t>
  </si>
  <si>
    <t>企划部支出</t>
  </si>
  <si>
    <t>财务及综合</t>
  </si>
  <si>
    <t>税费</t>
  </si>
  <si>
    <t>归还借款</t>
  </si>
  <si>
    <r>
      <rPr>
        <sz val="10"/>
        <color theme="1"/>
        <rFont val="宋体"/>
        <family val="3"/>
        <charset val="134"/>
      </rPr>
      <t xml:space="preserve">      1.生产部超支</t>
    </r>
    <r>
      <rPr>
        <sz val="10"/>
        <color rgb="FFFF0000"/>
        <rFont val="宋体"/>
        <family val="3"/>
        <charset val="134"/>
      </rPr>
      <t>81.6</t>
    </r>
    <r>
      <rPr>
        <sz val="10"/>
        <color theme="1"/>
        <rFont val="宋体"/>
        <family val="3"/>
        <charset val="134"/>
      </rPr>
      <t xml:space="preserve">万，除外采因素的46万外，尚有35.6万的超以，主要集中表现在：外协加工费超支6万（服装工艺要求的提升），人员工资超支4.6万，水电费超支8万，因秋冬补单毛衫超支3万；
</t>
    </r>
  </si>
  <si>
    <r>
      <rPr>
        <sz val="10"/>
        <color theme="1"/>
        <rFont val="宋体"/>
        <family val="3"/>
        <charset val="134"/>
      </rPr>
      <t xml:space="preserve">      2.奥莱部超支</t>
    </r>
    <r>
      <rPr>
        <sz val="10"/>
        <color rgb="FFFF0000"/>
        <rFont val="宋体"/>
        <family val="3"/>
        <charset val="134"/>
      </rPr>
      <t>19.6</t>
    </r>
    <r>
      <rPr>
        <sz val="10"/>
        <color theme="1"/>
        <rFont val="宋体"/>
        <family val="3"/>
        <charset val="134"/>
      </rPr>
      <t>万，主要是托管费预算不足导致；</t>
    </r>
  </si>
  <si>
    <t xml:space="preserve">      3.公司管理费用超支76万，工资超支24万，社保超支2万，办公用品超支4万（门店及公司电脑设备逐步更新所至）；
</t>
  </si>
  <si>
    <t xml:space="preserve">价格指标  
</t>
  </si>
  <si>
    <t xml:space="preserve">      1.年度预算2016春装成本均价122元/件（89元/件）；实际成本110元/件，低出预算12元/件；（节省投入资金12万元）</t>
  </si>
  <si>
    <t xml:space="preserve">      2.年度预算2016夏装成本均价105元/件（74元/件）；实际成本98元/件，低出预算7元/件；（节省投入资金14万元）
</t>
  </si>
  <si>
    <t xml:space="preserve">      3.年度春装吊牌均价1461元/件；15春吊牌1072元，提价389元（提 36%较15成本提 24%）；平均课单824元；
</t>
  </si>
  <si>
    <t xml:space="preserve">      4.年度夏装吊牌均价1082元/件；15夏吊牌945元，提价137元（提14%较15成本提32%）；平均课单572元</t>
  </si>
  <si>
    <t>X-MOOM  现金流量表</t>
  </si>
  <si>
    <t>金额</t>
  </si>
  <si>
    <t>销售商品收到的现金流量</t>
  </si>
  <si>
    <t xml:space="preserve">    销售收入</t>
  </si>
  <si>
    <t>经营活动产生的现金流量</t>
  </si>
  <si>
    <t xml:space="preserve">    人力成本支出</t>
  </si>
  <si>
    <t>公司总部工资</t>
  </si>
  <si>
    <t>生产制造工资</t>
  </si>
  <si>
    <t>营业员工资</t>
  </si>
  <si>
    <t>社会保险</t>
  </si>
  <si>
    <t xml:space="preserve">    税金</t>
  </si>
  <si>
    <t xml:space="preserve">    财务费用</t>
  </si>
  <si>
    <t xml:space="preserve">    工厂及办公用房</t>
  </si>
  <si>
    <t xml:space="preserve">          工厂</t>
  </si>
  <si>
    <t xml:space="preserve">          公司含物业费</t>
  </si>
  <si>
    <t xml:space="preserve">          其他</t>
  </si>
  <si>
    <t xml:space="preserve">    水电费：</t>
  </si>
  <si>
    <t xml:space="preserve">          公司</t>
  </si>
  <si>
    <t xml:space="preserve">    通讯费用：</t>
  </si>
  <si>
    <t xml:space="preserve">          公司及工厂</t>
  </si>
  <si>
    <t xml:space="preserve">          门店</t>
  </si>
  <si>
    <t xml:space="preserve">    快递及运输费用：</t>
  </si>
  <si>
    <t xml:space="preserve">    装修费用</t>
  </si>
  <si>
    <t xml:space="preserve">    办公费用</t>
  </si>
  <si>
    <t xml:space="preserve">          开发及制造</t>
  </si>
  <si>
    <t xml:space="preserve">          管理部门</t>
  </si>
  <si>
    <t xml:space="preserve">          销售部门</t>
  </si>
  <si>
    <t xml:space="preserve">   企划部门</t>
  </si>
  <si>
    <t xml:space="preserve">    差旅费用</t>
  </si>
  <si>
    <t xml:space="preserve">          企划部门</t>
  </si>
  <si>
    <r>
      <rPr>
        <sz val="10"/>
        <rFont val="宋体"/>
        <family val="3"/>
        <charset val="134"/>
      </rPr>
      <t xml:space="preserve">    业务招待费（</t>
    </r>
    <r>
      <rPr>
        <sz val="10"/>
        <color theme="3" tint="0.39988402966399123"/>
        <rFont val="宋体"/>
        <family val="3"/>
        <charset val="134"/>
      </rPr>
      <t>含福利费</t>
    </r>
    <r>
      <rPr>
        <sz val="10"/>
        <rFont val="宋体"/>
        <family val="3"/>
        <charset val="134"/>
      </rPr>
      <t>）</t>
    </r>
  </si>
  <si>
    <t xml:space="preserve">    维护及服务费用</t>
  </si>
  <si>
    <t xml:space="preserve">    交通及汽车费用</t>
  </si>
  <si>
    <t xml:space="preserve">    拍摄费用（含天猫）</t>
  </si>
  <si>
    <t xml:space="preserve">    其他</t>
  </si>
  <si>
    <t>购买产品、接受劳务支付的现金流量</t>
  </si>
  <si>
    <t xml:space="preserve">    生产总投入</t>
  </si>
  <si>
    <t xml:space="preserve">          面辅料投入</t>
  </si>
  <si>
    <t xml:space="preserve">          加工费用</t>
  </si>
  <si>
    <t xml:space="preserve">          成衣采购</t>
  </si>
  <si>
    <t xml:space="preserve">          样衣采购</t>
  </si>
  <si>
    <t xml:space="preserve">          面料检测</t>
  </si>
  <si>
    <t>调样费</t>
  </si>
  <si>
    <t>包装物</t>
  </si>
  <si>
    <t>投资活动产生的现金流量</t>
  </si>
  <si>
    <t xml:space="preserve">    固定资产/低值易耗</t>
  </si>
  <si>
    <t>筹资活动产生的现金流量</t>
  </si>
  <si>
    <t xml:space="preserve">    归还借款</t>
  </si>
  <si>
    <t>商场费用</t>
  </si>
  <si>
    <t>托管费</t>
  </si>
  <si>
    <t>现金净增加额</t>
  </si>
  <si>
    <t>X-MOOM  利润</t>
  </si>
  <si>
    <t>结算年度  2017</t>
  </si>
  <si>
    <r>
      <rPr>
        <sz val="11"/>
        <rFont val="Arial"/>
        <family val="2"/>
      </rPr>
      <t>2016</t>
    </r>
    <r>
      <rPr>
        <sz val="11"/>
        <rFont val="宋体"/>
        <family val="3"/>
        <charset val="134"/>
      </rPr>
      <t>年</t>
    </r>
  </si>
  <si>
    <r>
      <rPr>
        <sz val="11"/>
        <rFont val="宋体"/>
        <family val="3"/>
        <charset val="134"/>
      </rPr>
      <t>增幅</t>
    </r>
  </si>
  <si>
    <t>销售收入</t>
  </si>
  <si>
    <t>销售成本</t>
  </si>
  <si>
    <t>毛 利 润</t>
  </si>
  <si>
    <t>毛 利 率</t>
  </si>
  <si>
    <t>费用支出</t>
  </si>
  <si>
    <t>净 利 润</t>
  </si>
  <si>
    <t>净 利 率</t>
  </si>
  <si>
    <t>经营指数</t>
  </si>
  <si>
    <t>2017.12.31</t>
  </si>
  <si>
    <t>2016.12.31</t>
  </si>
  <si>
    <t>同比</t>
  </si>
  <si>
    <t>2015.12.31</t>
  </si>
  <si>
    <t>增幅</t>
  </si>
  <si>
    <t>注解</t>
  </si>
  <si>
    <t>毛利润</t>
  </si>
  <si>
    <t>生产经营中的耗费与获得收益之间的关系</t>
  </si>
  <si>
    <t>净利率</t>
  </si>
  <si>
    <t>成本费用净利率</t>
  </si>
  <si>
    <r>
      <rPr>
        <sz val="10"/>
        <rFont val="宋体"/>
        <family val="3"/>
        <charset val="134"/>
      </rPr>
      <t>投资回报率</t>
    </r>
    <r>
      <rPr>
        <sz val="10"/>
        <rFont val="Arial"/>
        <family val="2"/>
      </rPr>
      <t xml:space="preserve"> </t>
    </r>
  </si>
  <si>
    <t>X-MOOM  商品部</t>
  </si>
  <si>
    <t>生产数量</t>
  </si>
  <si>
    <t>销售数量</t>
  </si>
  <si>
    <t>库销比</t>
  </si>
  <si>
    <r>
      <rPr>
        <sz val="10"/>
        <rFont val="Arial"/>
        <family val="2"/>
      </rPr>
      <t>2016</t>
    </r>
    <r>
      <rPr>
        <sz val="10"/>
        <rFont val="宋体"/>
        <family val="3"/>
        <charset val="134"/>
      </rPr>
      <t>年</t>
    </r>
  </si>
  <si>
    <r>
      <rPr>
        <sz val="10"/>
        <rFont val="Arial"/>
        <family val="2"/>
      </rPr>
      <t>2017</t>
    </r>
    <r>
      <rPr>
        <sz val="10"/>
        <rFont val="宋体"/>
        <family val="3"/>
        <charset val="134"/>
      </rPr>
      <t>年</t>
    </r>
  </si>
  <si>
    <t>当年款总计</t>
  </si>
  <si>
    <t>春</t>
  </si>
  <si>
    <t>夏</t>
  </si>
  <si>
    <t>秋</t>
  </si>
  <si>
    <t>冬</t>
  </si>
  <si>
    <t>往年库存总计</t>
  </si>
  <si>
    <t>往年库存（1年）</t>
  </si>
  <si>
    <t>往年库存（2年）</t>
  </si>
  <si>
    <t>往年库存（3年及其以上）10年起</t>
  </si>
  <si>
    <t>单位：件</t>
  </si>
  <si>
    <r>
      <rPr>
        <sz val="10"/>
        <color theme="1"/>
        <rFont val="宋体"/>
        <family val="3"/>
        <charset val="134"/>
      </rPr>
      <t xml:space="preserve">    1.201</t>
    </r>
    <r>
      <rPr>
        <sz val="10"/>
        <color theme="1"/>
        <rFont val="宋体"/>
        <family val="3"/>
        <charset val="134"/>
      </rPr>
      <t>7</t>
    </r>
    <r>
      <rPr>
        <sz val="10"/>
        <color theme="1"/>
        <rFont val="宋体"/>
        <family val="3"/>
        <charset val="134"/>
      </rPr>
      <t>年的新款生产量增加</t>
    </r>
    <r>
      <rPr>
        <sz val="10"/>
        <color rgb="FFFF0000"/>
        <rFont val="宋体"/>
        <family val="3"/>
        <charset val="134"/>
      </rPr>
      <t>63793</t>
    </r>
    <r>
      <rPr>
        <sz val="10"/>
        <color theme="1"/>
        <rFont val="宋体"/>
        <family val="3"/>
        <charset val="134"/>
      </rPr>
      <t>件，投产量</t>
    </r>
    <r>
      <rPr>
        <sz val="10"/>
        <color rgb="FFFF0000"/>
        <rFont val="宋体"/>
        <family val="3"/>
        <charset val="134"/>
      </rPr>
      <t>增加</t>
    </r>
    <r>
      <rPr>
        <sz val="10"/>
        <color rgb="FFFF0000"/>
        <rFont val="宋体"/>
        <family val="3"/>
        <charset val="134"/>
      </rPr>
      <t>73</t>
    </r>
    <r>
      <rPr>
        <sz val="10"/>
        <color rgb="FFFF0000"/>
        <rFont val="宋体"/>
        <family val="3"/>
        <charset val="134"/>
      </rPr>
      <t>%</t>
    </r>
    <r>
      <rPr>
        <sz val="10"/>
        <color theme="1"/>
        <rFont val="宋体"/>
        <family val="3"/>
        <charset val="134"/>
      </rPr>
      <t>；</t>
    </r>
  </si>
  <si>
    <r>
      <rPr>
        <sz val="10"/>
        <color theme="1"/>
        <rFont val="宋体"/>
        <family val="3"/>
        <charset val="134"/>
      </rPr>
      <t xml:space="preserve">    2.201</t>
    </r>
    <r>
      <rPr>
        <sz val="10"/>
        <color theme="1"/>
        <rFont val="宋体"/>
        <family val="3"/>
        <charset val="134"/>
      </rPr>
      <t>7</t>
    </r>
    <r>
      <rPr>
        <sz val="10"/>
        <color theme="1"/>
        <rFont val="宋体"/>
        <family val="3"/>
        <charset val="134"/>
      </rPr>
      <t>年的当年新款销售总量增加</t>
    </r>
    <r>
      <rPr>
        <sz val="10"/>
        <color rgb="FFFF0000"/>
        <rFont val="宋体"/>
        <family val="3"/>
        <charset val="134"/>
      </rPr>
      <t>37958</t>
    </r>
    <r>
      <rPr>
        <sz val="10"/>
        <color theme="1"/>
        <rFont val="宋体"/>
        <family val="3"/>
        <charset val="134"/>
      </rPr>
      <t>件，销售提升了</t>
    </r>
    <r>
      <rPr>
        <sz val="10"/>
        <color rgb="FFFF0000"/>
        <rFont val="宋体"/>
        <family val="3"/>
        <charset val="134"/>
      </rPr>
      <t>8</t>
    </r>
    <r>
      <rPr>
        <sz val="10"/>
        <color rgb="FFFF0000"/>
        <rFont val="宋体"/>
        <family val="3"/>
        <charset val="134"/>
      </rPr>
      <t>4%</t>
    </r>
    <r>
      <rPr>
        <sz val="10"/>
        <color theme="1"/>
        <rFont val="宋体"/>
        <family val="3"/>
        <charset val="134"/>
      </rPr>
      <t>；平均产销比提高</t>
    </r>
    <r>
      <rPr>
        <sz val="10"/>
        <color theme="1"/>
        <rFont val="宋体"/>
        <family val="3"/>
        <charset val="134"/>
      </rPr>
      <t>3</t>
    </r>
    <r>
      <rPr>
        <sz val="10"/>
        <color rgb="FFFF0000"/>
        <rFont val="宋体"/>
        <family val="3"/>
        <charset val="134"/>
      </rPr>
      <t>%</t>
    </r>
    <r>
      <rPr>
        <sz val="10"/>
        <rFont val="宋体"/>
        <family val="3"/>
        <charset val="134"/>
      </rPr>
      <t>；</t>
    </r>
  </si>
  <si>
    <r>
      <rPr>
        <sz val="10"/>
        <color theme="1"/>
        <rFont val="宋体"/>
        <family val="3"/>
        <charset val="134"/>
      </rPr>
      <t>秋首单生产量为</t>
    </r>
    <r>
      <rPr>
        <sz val="10"/>
        <color rgb="FFFF0000"/>
        <rFont val="宋体"/>
        <family val="3"/>
        <charset val="134"/>
      </rPr>
      <t>28695</t>
    </r>
    <r>
      <rPr>
        <sz val="10"/>
        <color theme="1"/>
        <rFont val="宋体"/>
        <family val="3"/>
        <charset val="134"/>
      </rPr>
      <t>件，补单</t>
    </r>
    <r>
      <rPr>
        <sz val="10"/>
        <color rgb="FFFF0000"/>
        <rFont val="宋体"/>
        <family val="3"/>
        <charset val="134"/>
      </rPr>
      <t>19181</t>
    </r>
    <r>
      <rPr>
        <sz val="10"/>
        <color theme="1"/>
        <rFont val="宋体"/>
        <family val="3"/>
        <charset val="134"/>
      </rPr>
      <t>件，首单及补单比例为：</t>
    </r>
    <r>
      <rPr>
        <sz val="10"/>
        <color rgb="FFFF0000"/>
        <rFont val="宋体"/>
        <family val="3"/>
        <charset val="134"/>
      </rPr>
      <t>60：40</t>
    </r>
    <r>
      <rPr>
        <sz val="10"/>
        <color theme="1"/>
        <rFont val="宋体"/>
        <family val="3"/>
        <charset val="134"/>
      </rPr>
      <t>；冬首单生产量为</t>
    </r>
    <r>
      <rPr>
        <sz val="10"/>
        <color rgb="FFFF0000"/>
        <rFont val="宋体"/>
        <family val="3"/>
        <charset val="134"/>
      </rPr>
      <t>42844</t>
    </r>
    <r>
      <rPr>
        <sz val="10"/>
        <color theme="1"/>
        <rFont val="宋体"/>
        <family val="3"/>
        <charset val="134"/>
      </rPr>
      <t>，补单</t>
    </r>
    <r>
      <rPr>
        <sz val="10"/>
        <color rgb="FFFF0000"/>
        <rFont val="宋体"/>
        <family val="3"/>
        <charset val="134"/>
      </rPr>
      <t>1544</t>
    </r>
    <r>
      <rPr>
        <sz val="10"/>
        <color theme="1"/>
        <rFont val="宋体"/>
        <family val="3"/>
        <charset val="134"/>
      </rPr>
      <t>件，首单及补单比例为：</t>
    </r>
    <r>
      <rPr>
        <sz val="10"/>
        <color rgb="FFFF0000"/>
        <rFont val="宋体"/>
        <family val="3"/>
        <charset val="134"/>
      </rPr>
      <t>97：3</t>
    </r>
    <r>
      <rPr>
        <sz val="10"/>
        <color theme="1"/>
        <rFont val="宋体"/>
        <family val="3"/>
        <charset val="134"/>
      </rPr>
      <t>；</t>
    </r>
  </si>
  <si>
    <t>资产时效</t>
  </si>
  <si>
    <t>资产状况</t>
  </si>
  <si>
    <t>流动资产状况</t>
  </si>
  <si>
    <t xml:space="preserve">    货币资金</t>
  </si>
  <si>
    <t xml:space="preserve">    应收帐款</t>
  </si>
  <si>
    <t xml:space="preserve">    其他应收款</t>
  </si>
  <si>
    <t>存货资产</t>
  </si>
  <si>
    <t>存货资产比率</t>
  </si>
  <si>
    <t>流动资产比率分析</t>
  </si>
  <si>
    <r>
      <rPr>
        <sz val="9"/>
        <color theme="1"/>
        <rFont val="宋体"/>
        <family val="3"/>
        <charset val="134"/>
      </rPr>
      <t xml:space="preserve">    流动资产较去年年末相比较持上升趋势，营业利润率持上升趋势，两者同时增长说明公司整体运营</t>
    </r>
    <r>
      <rPr>
        <sz val="9"/>
        <color theme="1"/>
        <rFont val="宋体"/>
        <family val="3"/>
        <charset val="134"/>
      </rPr>
      <t>属良性增长；</t>
    </r>
  </si>
  <si>
    <t xml:space="preserve">    应收帐款占流动资产的占比较去年年末比重加大，企业资金盈余减少，资金流转风险增加，资金使用率需进一步提高；</t>
  </si>
  <si>
    <t>存货资产比率分析</t>
  </si>
  <si>
    <r>
      <rPr>
        <sz val="9"/>
        <color theme="1"/>
        <rFont val="宋体"/>
        <family val="3"/>
        <charset val="134"/>
      </rPr>
      <t xml:space="preserve">    综上所述，存货的加大是导致公司现金流紧张的主因，如何加速货品的运转，提高资金使用率是</t>
    </r>
    <r>
      <rPr>
        <sz val="9"/>
        <color theme="1"/>
        <rFont val="宋体"/>
        <family val="3"/>
        <charset val="134"/>
      </rPr>
      <t>17年全公司的重中之重。</t>
    </r>
  </si>
  <si>
    <t>库存成本</t>
  </si>
  <si>
    <t>—</t>
  </si>
  <si>
    <t>+</t>
  </si>
  <si>
    <t>=</t>
  </si>
  <si>
    <t>投资型增长</t>
  </si>
  <si>
    <t>决策型增长</t>
  </si>
  <si>
    <t>新开门店业绩增长</t>
  </si>
  <si>
    <t>品类投入增长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</si>
  <si>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7年度的业绩增长</t>
    </r>
  </si>
  <si>
    <t xml:space="preserve">    天猫费用</t>
    <phoneticPr fontId="7" type="noConversion"/>
  </si>
  <si>
    <r>
      <rPr>
        <sz val="10"/>
        <rFont val="宋体"/>
        <family val="3"/>
        <charset val="134"/>
      </rPr>
      <t>成本依实际成本</t>
    </r>
    <r>
      <rPr>
        <sz val="10"/>
        <rFont val="Arial"/>
        <family val="2"/>
      </rPr>
      <t>*1.5</t>
    </r>
    <r>
      <rPr>
        <sz val="10"/>
        <rFont val="宋体"/>
        <family val="3"/>
        <charset val="134"/>
      </rPr>
      <t>倍</t>
    </r>
    <phoneticPr fontId="7" type="noConversion"/>
  </si>
  <si>
    <r>
      <rPr>
        <sz val="10"/>
        <color theme="1"/>
        <rFont val="宋体"/>
        <family val="3"/>
        <charset val="134"/>
      </rPr>
      <t xml:space="preserve">    4.2017年往年库存共消化53202件，较2016年消化的28721件，增加了24481件，消化率增加85</t>
    </r>
    <r>
      <rPr>
        <sz val="10"/>
        <color rgb="FFFF0000"/>
        <rFont val="宋体"/>
        <family val="3"/>
        <charset val="134"/>
      </rPr>
      <t>%</t>
    </r>
    <r>
      <rPr>
        <sz val="10"/>
        <color theme="1"/>
        <rFont val="宋体"/>
        <family val="3"/>
        <charset val="134"/>
      </rPr>
      <t>；这个增长的因素主要体现在往年库</t>
    </r>
    <phoneticPr fontId="7" type="noConversion"/>
  </si>
  <si>
    <t>存 （1年）的货品。对于往年库3年及以上库存产品消化率仍在持续下降，已做出清仓处理。加速及优化仓储结构是2018年的工作重点</t>
    <phoneticPr fontId="7" type="noConversion"/>
  </si>
  <si>
    <t xml:space="preserve">    上述数据中，我们对于加大产品投入带来了一定的业绩增长及贡献，但也值得关注的是投入的节奏变得尤为重要，</t>
    <phoneticPr fontId="7" type="noConversion"/>
  </si>
  <si>
    <t>2017.12.31</t>
    <phoneticPr fontId="7" type="noConversion"/>
  </si>
  <si>
    <t>当年新品</t>
    <phoneticPr fontId="7" type="noConversion"/>
  </si>
  <si>
    <t>往年库存（1年）</t>
    <phoneticPr fontId="7" type="noConversion"/>
  </si>
  <si>
    <t>往年库存（2年）</t>
    <phoneticPr fontId="7" type="noConversion"/>
  </si>
  <si>
    <t>往年库存（3年及以上）</t>
    <phoneticPr fontId="7" type="noConversion"/>
  </si>
  <si>
    <r>
      <t>201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年往年库存货品成本</t>
    </r>
    <phoneticPr fontId="7" type="noConversion"/>
  </si>
  <si>
    <r>
      <t>2</t>
    </r>
    <r>
      <rPr>
        <sz val="11"/>
        <color theme="1"/>
        <rFont val="宋体"/>
        <family val="3"/>
        <charset val="134"/>
        <scheme val="minor"/>
      </rPr>
      <t>364</t>
    </r>
    <r>
      <rPr>
        <sz val="11"/>
        <color theme="1"/>
        <rFont val="宋体"/>
        <family val="3"/>
        <charset val="134"/>
        <scheme val="minor"/>
      </rPr>
      <t>万</t>
    </r>
    <phoneticPr fontId="7" type="noConversion"/>
  </si>
  <si>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12</t>
    </r>
    <r>
      <rPr>
        <sz val="11"/>
        <color theme="1"/>
        <rFont val="宋体"/>
        <family val="3"/>
        <charset val="134"/>
      </rPr>
      <t>万</t>
    </r>
    <phoneticPr fontId="7" type="noConversion"/>
  </si>
  <si>
    <r>
      <rPr>
        <sz val="11"/>
        <color theme="1"/>
        <rFont val="宋体"/>
        <family val="3"/>
        <charset val="134"/>
      </rPr>
      <t>201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年新品成衣库存成本</t>
    </r>
    <phoneticPr fontId="7" type="noConversion"/>
  </si>
  <si>
    <r>
      <t>1</t>
    </r>
    <r>
      <rPr>
        <sz val="11"/>
        <color theme="1"/>
        <rFont val="宋体"/>
        <family val="3"/>
        <charset val="134"/>
        <scheme val="minor"/>
      </rPr>
      <t>452</t>
    </r>
    <r>
      <rPr>
        <sz val="11"/>
        <color theme="1"/>
        <rFont val="宋体"/>
        <family val="3"/>
        <charset val="134"/>
        <scheme val="minor"/>
      </rPr>
      <t>万</t>
    </r>
    <phoneticPr fontId="7" type="noConversion"/>
  </si>
  <si>
    <t>秋季 2.2万件 424万</t>
    <phoneticPr fontId="7" type="noConversion"/>
  </si>
  <si>
    <t>夏季 1.4万件 157万</t>
    <phoneticPr fontId="7" type="noConversion"/>
  </si>
  <si>
    <t>冬季 2.6万件 782万</t>
    <phoneticPr fontId="7" type="noConversion"/>
  </si>
  <si>
    <r>
      <t>6</t>
    </r>
    <r>
      <rPr>
        <sz val="11"/>
        <color theme="1"/>
        <rFont val="宋体"/>
        <family val="3"/>
        <charset val="134"/>
        <scheme val="minor"/>
      </rPr>
      <t>000</t>
    </r>
    <r>
      <rPr>
        <sz val="11"/>
        <color theme="1"/>
        <rFont val="宋体"/>
        <family val="3"/>
        <charset val="134"/>
        <scheme val="minor"/>
      </rPr>
      <t>万（1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年）</t>
    </r>
    <phoneticPr fontId="7" type="noConversion"/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</si>
  <si>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187</t>
    </r>
    <r>
      <rPr>
        <sz val="11"/>
        <color theme="1"/>
        <rFont val="宋体"/>
        <family val="3"/>
        <charset val="134"/>
      </rPr>
      <t>万</t>
    </r>
    <phoneticPr fontId="7" type="noConversion"/>
  </si>
  <si>
    <t>补单产品</t>
    <phoneticPr fontId="7" type="noConversion"/>
  </si>
  <si>
    <t>新品四季库存</t>
    <phoneticPr fontId="7" type="noConversion"/>
  </si>
  <si>
    <t>劣</t>
    <phoneticPr fontId="7" type="noConversion"/>
  </si>
  <si>
    <t>优</t>
    <phoneticPr fontId="7" type="noConversion"/>
  </si>
  <si>
    <t>春季 0.6万件  85万</t>
    <phoneticPr fontId="7" type="noConversion"/>
  </si>
  <si>
    <t>销售业绩的增长：2244万</t>
    <phoneticPr fontId="7" type="noConversion"/>
  </si>
  <si>
    <t>秋冬季产品库存（1206万）量较16年同期增</t>
    <phoneticPr fontId="7" type="noConversion"/>
  </si>
  <si>
    <r>
      <t>加97%（2.9万件612万）594万（</t>
    </r>
    <r>
      <rPr>
        <sz val="10"/>
        <color rgb="FFFF0000"/>
        <rFont val="宋体"/>
        <family val="3"/>
        <charset val="134"/>
        <scheme val="minor"/>
      </rPr>
      <t>688</t>
    </r>
    <r>
      <rPr>
        <sz val="10"/>
        <color theme="1"/>
        <rFont val="宋体"/>
        <family val="3"/>
        <charset val="134"/>
        <scheme val="minor"/>
      </rPr>
      <t>万）</t>
    </r>
    <phoneticPr fontId="7" type="noConversion"/>
  </si>
  <si>
    <t>新品补单0.9万件107万成本投入，较2016年的0.16万件29万的库存成本投入增长了269%，库存得以一定程度上的优化</t>
    <phoneticPr fontId="7" type="noConversion"/>
  </si>
  <si>
    <t>老店业绩增长</t>
    <phoneticPr fontId="7" type="noConversion"/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</si>
  <si>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056</t>
    </r>
    <r>
      <rPr>
        <sz val="11"/>
        <color theme="1"/>
        <rFont val="宋体"/>
        <family val="3"/>
        <charset val="134"/>
      </rPr>
      <t>万</t>
    </r>
    <phoneticPr fontId="7" type="noConversion"/>
  </si>
  <si>
    <t>2210万</t>
    <phoneticPr fontId="7" type="noConversion"/>
  </si>
  <si>
    <t>针织衫489万</t>
    <phoneticPr fontId="7" type="noConversion"/>
  </si>
  <si>
    <t>羽绒服655万</t>
    <phoneticPr fontId="7" type="noConversion"/>
  </si>
  <si>
    <t>外套205万</t>
    <phoneticPr fontId="7" type="noConversion"/>
  </si>
  <si>
    <t>风衣169万</t>
    <phoneticPr fontId="7" type="noConversion"/>
  </si>
  <si>
    <t>上衣129万</t>
    <phoneticPr fontId="7" type="noConversion"/>
  </si>
  <si>
    <t>成本销售占比</t>
    <phoneticPr fontId="7" type="noConversion"/>
  </si>
  <si>
    <t>与销售占比</t>
    <phoneticPr fontId="7" type="noConversion"/>
  </si>
  <si>
    <t xml:space="preserve">    2017年的销售成本占比较2016年增加1%，费用支出占比较2016年增长9%，公司总体利润下降10%；</t>
    <phoneticPr fontId="7" type="noConversion"/>
  </si>
  <si>
    <t xml:space="preserve">    存货总资产增加2%，；</t>
    <phoneticPr fontId="7" type="noConversion"/>
  </si>
  <si>
    <t xml:space="preserve">    销售回款:   7019万元    未达标（相差1万）</t>
    <phoneticPr fontId="7" type="noConversion"/>
  </si>
  <si>
    <t xml:space="preserve">    资金使用: 6284万元    超标25%（5037万 1247万）</t>
    <phoneticPr fontId="7" type="noConversion"/>
  </si>
  <si>
    <r>
      <t xml:space="preserve">    净利润:   -80万元   未达标(差</t>
    </r>
    <r>
      <rPr>
        <sz val="10"/>
        <color rgb="FFFF0000"/>
        <rFont val="宋体"/>
        <family val="3"/>
        <charset val="134"/>
      </rPr>
      <t>1430万</t>
    </r>
    <r>
      <rPr>
        <sz val="10"/>
        <rFont val="宋体"/>
        <family val="3"/>
        <charset val="134"/>
      </rPr>
      <t>)</t>
    </r>
    <phoneticPr fontId="7" type="noConversion"/>
  </si>
  <si>
    <r>
      <t xml:space="preserve">    利润率:      -1.1%      未达标(差</t>
    </r>
    <r>
      <rPr>
        <sz val="10"/>
        <color rgb="FFFF0000"/>
        <rFont val="宋体"/>
        <family val="3"/>
        <charset val="134"/>
      </rPr>
      <t>16.1%</t>
    </r>
    <r>
      <rPr>
        <sz val="10"/>
        <rFont val="宋体"/>
        <family val="3"/>
        <charset val="134"/>
      </rPr>
      <t>)</t>
    </r>
    <phoneticPr fontId="7" type="noConversion"/>
  </si>
  <si>
    <t>开发部</t>
    <phoneticPr fontId="7" type="noConversion"/>
  </si>
  <si>
    <t>计划</t>
    <phoneticPr fontId="7" type="noConversion"/>
  </si>
  <si>
    <t>实际</t>
    <phoneticPr fontId="7" type="noConversion"/>
  </si>
  <si>
    <t>生产部</t>
    <phoneticPr fontId="7" type="noConversion"/>
  </si>
  <si>
    <t>销售部</t>
    <phoneticPr fontId="7" type="noConversion"/>
  </si>
  <si>
    <t>企划部</t>
    <phoneticPr fontId="7" type="noConversion"/>
  </si>
  <si>
    <t>总部</t>
    <phoneticPr fontId="7" type="noConversion"/>
  </si>
  <si>
    <r>
      <t xml:space="preserve">      本期预算资金</t>
    </r>
    <r>
      <rPr>
        <sz val="10"/>
        <color rgb="FFFF0000"/>
        <rFont val="宋体"/>
        <family val="3"/>
        <charset val="134"/>
      </rPr>
      <t>5</t>
    </r>
    <r>
      <rPr>
        <sz val="10"/>
        <rFont val="宋体"/>
        <family val="3"/>
        <charset val="134"/>
      </rPr>
      <t>万，实际使用资金</t>
    </r>
    <r>
      <rPr>
        <sz val="10"/>
        <color rgb="FFFF0000"/>
        <rFont val="宋体"/>
        <family val="3"/>
        <charset val="134"/>
      </rPr>
      <t>1614.8</t>
    </r>
    <r>
      <rPr>
        <sz val="10"/>
        <rFont val="宋体"/>
        <family val="3"/>
        <charset val="134"/>
      </rPr>
      <t>万，超支</t>
    </r>
    <r>
      <rPr>
        <sz val="10"/>
        <color rgb="FFFF0000"/>
        <rFont val="宋体"/>
        <family val="3"/>
        <charset val="134"/>
      </rPr>
      <t>48.8</t>
    </r>
    <r>
      <rPr>
        <sz val="10"/>
        <rFont val="宋体"/>
        <family val="3"/>
        <charset val="134"/>
      </rPr>
      <t>万，外采款上半年支出</t>
    </r>
    <r>
      <rPr>
        <sz val="10"/>
        <color rgb="FFFF0000"/>
        <rFont val="宋体"/>
        <family val="3"/>
        <charset val="134"/>
      </rPr>
      <t>45.47</t>
    </r>
    <r>
      <rPr>
        <sz val="10"/>
        <rFont val="宋体"/>
        <family val="3"/>
        <charset val="134"/>
      </rPr>
      <t>万，未计入预算范围内，故是导致上半年度费用超支</t>
    </r>
    <r>
      <rPr>
        <sz val="10"/>
        <color rgb="FFFF0000"/>
        <rFont val="宋体"/>
        <family val="3"/>
        <charset val="134"/>
      </rPr>
      <t>48.86</t>
    </r>
    <r>
      <rPr>
        <sz val="10"/>
        <rFont val="宋体"/>
        <family val="3"/>
        <charset val="134"/>
      </rPr>
      <t>万的主因。</t>
    </r>
    <phoneticPr fontId="7" type="noConversion"/>
  </si>
  <si>
    <r>
      <t xml:space="preserve">    3.当年新款：春首单生产量为</t>
    </r>
    <r>
      <rPr>
        <sz val="10"/>
        <color rgb="FFFF0000"/>
        <rFont val="宋体"/>
        <family val="3"/>
        <charset val="134"/>
      </rPr>
      <t>10616</t>
    </r>
    <r>
      <rPr>
        <sz val="10"/>
        <color theme="1"/>
        <rFont val="宋体"/>
        <family val="3"/>
        <charset val="134"/>
      </rPr>
      <t>件，补单</t>
    </r>
    <r>
      <rPr>
        <sz val="10"/>
        <color rgb="FFFF0000"/>
        <rFont val="宋体"/>
        <family val="3"/>
        <charset val="134"/>
      </rPr>
      <t>3187</t>
    </r>
    <r>
      <rPr>
        <sz val="10"/>
        <color theme="1"/>
        <rFont val="宋体"/>
        <family val="3"/>
        <charset val="134"/>
      </rPr>
      <t>件，首单及补单比例为</t>
    </r>
    <r>
      <rPr>
        <sz val="10"/>
        <color rgb="FFFF0000"/>
        <rFont val="宋体"/>
        <family val="3"/>
        <charset val="134"/>
      </rPr>
      <t>77：23</t>
    </r>
    <r>
      <rPr>
        <sz val="10"/>
        <color theme="1"/>
        <rFont val="宋体"/>
        <family val="3"/>
        <charset val="134"/>
      </rPr>
      <t>；夏首单生产量</t>
    </r>
    <r>
      <rPr>
        <sz val="10"/>
        <color rgb="FFFF0000"/>
        <rFont val="宋体"/>
        <family val="3"/>
        <charset val="134"/>
      </rPr>
      <t>15329</t>
    </r>
    <r>
      <rPr>
        <sz val="10"/>
        <color theme="1"/>
        <rFont val="宋体"/>
        <family val="3"/>
        <charset val="134"/>
      </rPr>
      <t>件,补单</t>
    </r>
    <r>
      <rPr>
        <sz val="10"/>
        <color rgb="FFFF0000"/>
        <rFont val="宋体"/>
        <family val="3"/>
        <charset val="134"/>
      </rPr>
      <t>8741</t>
    </r>
    <r>
      <rPr>
        <sz val="10"/>
        <color theme="1"/>
        <rFont val="宋体"/>
        <family val="3"/>
        <charset val="134"/>
      </rPr>
      <t>件,首单及补单比例为</t>
    </r>
    <r>
      <rPr>
        <sz val="10"/>
        <color rgb="FFFF0000"/>
        <rFont val="宋体"/>
        <family val="3"/>
        <charset val="134"/>
      </rPr>
      <t>64:36</t>
    </r>
    <r>
      <rPr>
        <sz val="10"/>
        <color theme="1"/>
        <rFont val="宋体"/>
        <family val="3"/>
        <charset val="134"/>
      </rPr>
      <t>;</t>
    </r>
    <phoneticPr fontId="7" type="noConversion"/>
  </si>
  <si>
    <t>2016年收入占比</t>
    <phoneticPr fontId="7" type="noConversion"/>
  </si>
  <si>
    <t xml:space="preserve">                                      资产负债表简表                                            单位：万元</t>
  </si>
  <si>
    <t xml:space="preserve">资产 </t>
  </si>
  <si>
    <t>与销售关系%</t>
  </si>
  <si>
    <t>负债与权益</t>
  </si>
  <si>
    <t>现金</t>
  </si>
  <si>
    <t>短期借款</t>
  </si>
  <si>
    <t>N</t>
  </si>
  <si>
    <t>应收账款</t>
  </si>
  <si>
    <t>应付账款</t>
  </si>
  <si>
    <t>存货</t>
  </si>
  <si>
    <t>预提费用</t>
  </si>
  <si>
    <t>固定资产</t>
  </si>
  <si>
    <t>公司债券</t>
  </si>
  <si>
    <t>实收资本</t>
  </si>
  <si>
    <t>留存收益</t>
  </si>
  <si>
    <t>基期销售收入</t>
  </si>
  <si>
    <t>预测销售收入</t>
  </si>
  <si>
    <t>增加数</t>
  </si>
  <si>
    <t>预测净利润（销售收入的10%）</t>
  </si>
  <si>
    <t>预测增加资金需求</t>
  </si>
  <si>
    <r>
      <t>货品层面</t>
    </r>
    <r>
      <rPr>
        <b/>
        <sz val="11"/>
        <color theme="1"/>
        <rFont val="宋体"/>
        <family val="3"/>
        <charset val="134"/>
        <scheme val="minor"/>
      </rPr>
      <t>的超支：</t>
    </r>
    <phoneticPr fontId="7" type="noConversion"/>
  </si>
  <si>
    <t>收入</t>
    <phoneticPr fontId="86" type="noConversion"/>
  </si>
  <si>
    <t>成本费用</t>
    <phoneticPr fontId="86" type="noConversion"/>
  </si>
  <si>
    <t>成本利润率</t>
    <phoneticPr fontId="86" type="noConversion"/>
  </si>
  <si>
    <t>月份</t>
    <phoneticPr fontId="86" type="noConversion"/>
  </si>
  <si>
    <t>合计</t>
    <phoneticPr fontId="86" type="noConversion"/>
  </si>
  <si>
    <t>16/15比</t>
    <phoneticPr fontId="86" type="noConversion"/>
  </si>
  <si>
    <t>17/16收入比</t>
    <phoneticPr fontId="86" type="noConversion"/>
  </si>
  <si>
    <t>17/16成本费用比</t>
    <phoneticPr fontId="86" type="noConversion"/>
  </si>
  <si>
    <t>峰值缺口</t>
    <phoneticPr fontId="86" type="noConversion"/>
  </si>
  <si>
    <t>平均比值</t>
    <phoneticPr fontId="89" type="noConversion"/>
  </si>
  <si>
    <t>2018预测</t>
    <phoneticPr fontId="89" type="noConversion"/>
  </si>
  <si>
    <t>预测净利润（销售收入的10%）</t>
    <phoneticPr fontId="7" type="noConversion"/>
  </si>
  <si>
    <t xml:space="preserve">                                      战略增长</t>
    <phoneticPr fontId="7" type="noConversion"/>
  </si>
  <si>
    <r>
      <t xml:space="preserve"> </t>
    </r>
    <r>
      <rPr>
        <b/>
        <sz val="10"/>
        <rFont val="宋体"/>
        <family val="3"/>
        <charset val="134"/>
        <scheme val="major"/>
      </rPr>
      <t xml:space="preserve">   资产状况</t>
    </r>
    <phoneticPr fontId="7" type="noConversion"/>
  </si>
  <si>
    <t xml:space="preserve">        资产状况评定</t>
    <phoneticPr fontId="7" type="noConversion"/>
  </si>
  <si>
    <t xml:space="preserve">        超支与增长的注释</t>
    <phoneticPr fontId="7" type="noConversion"/>
  </si>
  <si>
    <t xml:space="preserve">        计划与实际图表</t>
    <phoneticPr fontId="7" type="noConversion"/>
  </si>
  <si>
    <t xml:space="preserve">        资产负债简表预测</t>
    <phoneticPr fontId="7" type="noConversion"/>
  </si>
  <si>
    <t xml:space="preserve">        资金峰值预测</t>
    <phoneticPr fontId="7" type="noConversion"/>
  </si>
  <si>
    <r>
      <t xml:space="preserve">    现金流盈余：截止至12月，73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万</t>
    </r>
    <phoneticPr fontId="7" type="noConversion"/>
  </si>
  <si>
    <r>
      <t xml:space="preserve">  </t>
    </r>
    <r>
      <rPr>
        <b/>
        <sz val="10"/>
        <rFont val="宋体"/>
        <family val="3"/>
        <charset val="134"/>
        <scheme val="major"/>
      </rPr>
      <t xml:space="preserve">   2017年度大事件的述职</t>
    </r>
    <phoneticPr fontId="7" type="noConversion"/>
  </si>
  <si>
    <t>事件一</t>
    <phoneticPr fontId="89" type="noConversion"/>
  </si>
  <si>
    <t>百胜系统升级</t>
    <phoneticPr fontId="89" type="noConversion"/>
  </si>
  <si>
    <t xml:space="preserve">   1.前期调研工作不够充分</t>
    <phoneticPr fontId="89" type="noConversion"/>
  </si>
  <si>
    <t xml:space="preserve">   2.涉及各个环节的细节设定未考虑完善</t>
    <phoneticPr fontId="89" type="noConversion"/>
  </si>
  <si>
    <t xml:space="preserve">   3.前期宣导工作不到位</t>
    <phoneticPr fontId="89" type="noConversion"/>
  </si>
  <si>
    <t xml:space="preserve">   4.职权不明确，要求不到位</t>
    <phoneticPr fontId="89" type="noConversion"/>
  </si>
  <si>
    <t>事件二</t>
    <phoneticPr fontId="89" type="noConversion"/>
  </si>
  <si>
    <t>仓库撤消选择</t>
    <phoneticPr fontId="89" type="noConversion"/>
  </si>
  <si>
    <t xml:space="preserve">   1.仓库选择的选择面过窄，调研工作不够充分</t>
    <phoneticPr fontId="89" type="noConversion"/>
  </si>
  <si>
    <t xml:space="preserve">   3.业务特征的差异，对其带来的后果评估不足</t>
    <phoneticPr fontId="89" type="noConversion"/>
  </si>
  <si>
    <t>事件三</t>
    <phoneticPr fontId="89" type="noConversion"/>
  </si>
  <si>
    <t>仓库搬迁</t>
    <phoneticPr fontId="89" type="noConversion"/>
  </si>
  <si>
    <t>季节名称</t>
  </si>
  <si>
    <t>数量</t>
  </si>
  <si>
    <t>实际金额</t>
  </si>
  <si>
    <t>件单价</t>
  </si>
  <si>
    <t>补单数量</t>
  </si>
  <si>
    <t>件数占比</t>
  </si>
  <si>
    <t>补单销售金额</t>
  </si>
  <si>
    <t>业绩占比</t>
  </si>
  <si>
    <t>17年春季</t>
  </si>
  <si>
    <t>17年夏季</t>
  </si>
  <si>
    <t>17年秋季</t>
  </si>
  <si>
    <t>17年冬季</t>
  </si>
  <si>
    <t xml:space="preserve"> </t>
    <phoneticPr fontId="89" type="noConversion"/>
  </si>
  <si>
    <t xml:space="preserve">   2.只考虑实操环节，对于软件操作层面的可操作性评估不足</t>
    <phoneticPr fontId="89" type="noConversion"/>
  </si>
  <si>
    <t xml:space="preserve">   2.对于唯品退货量及时间预估不足，导致货品短时间内扎堆</t>
    <phoneticPr fontId="89" type="noConversion"/>
  </si>
  <si>
    <t xml:space="preserve">   4.没有召集相关人员组织会议讨论、分工，责任到人；</t>
    <phoneticPr fontId="89" type="noConversion"/>
  </si>
  <si>
    <t xml:space="preserve">   5.没有紧急预案策略准备</t>
    <phoneticPr fontId="89" type="noConversion"/>
  </si>
  <si>
    <t>选定金额</t>
  </si>
  <si>
    <t>16年冬季</t>
  </si>
  <si>
    <t>16年夏季</t>
  </si>
  <si>
    <t>16年春季</t>
  </si>
  <si>
    <t>16年秋季</t>
  </si>
  <si>
    <t>吊牌价</t>
    <phoneticPr fontId="7" type="noConversion"/>
  </si>
  <si>
    <t>成交价</t>
    <phoneticPr fontId="7" type="noConversion"/>
  </si>
  <si>
    <t>成交价差异</t>
    <phoneticPr fontId="7" type="noConversion"/>
  </si>
  <si>
    <t>吊牌价差异</t>
    <phoneticPr fontId="7" type="noConversion"/>
  </si>
  <si>
    <t>吊牌价与件单价的关系</t>
    <phoneticPr fontId="7" type="noConversion"/>
  </si>
  <si>
    <t>业绩增长</t>
    <phoneticPr fontId="7" type="noConversion"/>
  </si>
  <si>
    <t>折扣</t>
    <phoneticPr fontId="7" type="noConversion"/>
  </si>
  <si>
    <t>下述表中的成交价与吊牌价的关系，可以看出，实际成交价与折扣之间，顾客更偏向折扣的选择，对于的折扣的敏感度更高。</t>
    <phoneticPr fontId="7" type="noConversion"/>
  </si>
  <si>
    <r>
      <t xml:space="preserve">    3.本期回款：</t>
    </r>
    <r>
      <rPr>
        <sz val="9"/>
        <color rgb="FFFF0000"/>
        <rFont val="宋体"/>
        <family val="3"/>
        <charset val="134"/>
      </rPr>
      <t>7019</t>
    </r>
    <r>
      <rPr>
        <sz val="9"/>
        <color theme="1"/>
        <rFont val="宋体"/>
        <family val="3"/>
        <charset val="134"/>
      </rPr>
      <t>万元，回款额的增长比例超业绩增长比例，主因是签约形式、结算方式发生改变，个体户店由原</t>
    </r>
    <r>
      <rPr>
        <sz val="9"/>
        <color theme="1"/>
        <rFont val="宋体"/>
        <family val="3"/>
        <charset val="134"/>
      </rPr>
      <t>5家增加到19家</t>
    </r>
    <r>
      <rPr>
        <sz val="9"/>
        <color theme="1"/>
        <rFont val="宋体"/>
        <family val="3"/>
        <charset val="134"/>
      </rPr>
      <t>；</t>
    </r>
    <phoneticPr fontId="7" type="noConversion"/>
  </si>
  <si>
    <r>
      <t xml:space="preserve">    2.本期指标：</t>
    </r>
    <r>
      <rPr>
        <sz val="9"/>
        <color rgb="FFFF0000"/>
        <rFont val="宋体"/>
        <family val="3"/>
        <charset val="134"/>
      </rPr>
      <t>9000</t>
    </r>
    <r>
      <rPr>
        <sz val="9"/>
        <color theme="1"/>
        <rFont val="宋体"/>
        <family val="3"/>
        <charset val="134"/>
      </rPr>
      <t>万元，达标率</t>
    </r>
    <r>
      <rPr>
        <sz val="9"/>
        <color rgb="FFFF0000"/>
        <rFont val="宋体"/>
        <family val="3"/>
        <charset val="134"/>
      </rPr>
      <t>92%</t>
    </r>
    <r>
      <rPr>
        <sz val="9"/>
        <color theme="1"/>
        <rFont val="宋体"/>
        <family val="3"/>
        <charset val="134"/>
      </rPr>
      <t>，相差</t>
    </r>
    <r>
      <rPr>
        <sz val="9"/>
        <color rgb="FFFF0000"/>
        <rFont val="宋体"/>
        <family val="3"/>
        <charset val="134"/>
      </rPr>
      <t>756</t>
    </r>
    <r>
      <rPr>
        <sz val="9"/>
        <color theme="1"/>
        <rFont val="宋体"/>
        <family val="3"/>
        <charset val="134"/>
      </rPr>
      <t>万元；未完成。整体销售业绩增长</t>
    </r>
    <r>
      <rPr>
        <sz val="9"/>
        <color rgb="FFFF0000"/>
        <rFont val="宋体"/>
        <family val="3"/>
        <charset val="134"/>
      </rPr>
      <t>37%</t>
    </r>
    <r>
      <rPr>
        <sz val="9"/>
        <color theme="1"/>
        <rFont val="宋体"/>
        <family val="3"/>
        <charset val="134"/>
      </rPr>
      <t>，回款额增长</t>
    </r>
    <r>
      <rPr>
        <sz val="9"/>
        <color rgb="FFFF0000"/>
        <rFont val="宋体"/>
        <family val="3"/>
        <charset val="134"/>
      </rPr>
      <t>48%</t>
    </r>
    <phoneticPr fontId="7" type="noConversion"/>
  </si>
  <si>
    <t xml:space="preserve">    1.本期销售业绩：8244万元，平均共计58家门店（门店增加比率49%），平均单店业绩：11.8万/店/月，单店业绩增长率：1.7%（11.6万/店/月）；总业绩增长率37%（去年同期总业绩6000万，46家门店，增长率为51%）；
</t>
    <phoneticPr fontId="7" type="noConversion"/>
  </si>
  <si>
    <t xml:space="preserve">        门店经营</t>
    <phoneticPr fontId="7" type="noConversion"/>
  </si>
  <si>
    <t>2018预测估值</t>
    <phoneticPr fontId="7" type="noConversion"/>
  </si>
  <si>
    <t>销售金额</t>
    <phoneticPr fontId="89" type="noConversion"/>
  </si>
  <si>
    <t>贡献占比</t>
    <phoneticPr fontId="89" type="noConversion"/>
  </si>
  <si>
    <t>增幅</t>
    <phoneticPr fontId="89" type="noConversion"/>
  </si>
  <si>
    <t>奥莱业绩</t>
    <phoneticPr fontId="89" type="noConversion"/>
  </si>
  <si>
    <t>正价业绩</t>
    <phoneticPr fontId="89" type="noConversion"/>
  </si>
  <si>
    <t>临场业绩</t>
    <phoneticPr fontId="89" type="noConversion"/>
  </si>
  <si>
    <t>合计</t>
    <phoneticPr fontId="89" type="noConversion"/>
  </si>
  <si>
    <t>奥莱19家老店共存卖场</t>
  </si>
  <si>
    <t>销售金额</t>
  </si>
  <si>
    <t>销售件数</t>
  </si>
  <si>
    <t>单店运营能力</t>
  </si>
  <si>
    <t>客单价</t>
  </si>
  <si>
    <t>奥莱贡献率</t>
  </si>
  <si>
    <t>2016年</t>
  </si>
  <si>
    <t>2017年</t>
  </si>
  <si>
    <t>正价7家老店共存卖场</t>
  </si>
  <si>
    <t>正价贡献率</t>
  </si>
  <si>
    <t>业绩贡献前五</t>
  </si>
  <si>
    <t>业绩增长率前五（满2年）</t>
  </si>
  <si>
    <t xml:space="preserve"> 重庆奥莱 </t>
  </si>
  <si>
    <t>济南东环</t>
  </si>
  <si>
    <t xml:space="preserve"> 海南首创 </t>
  </si>
  <si>
    <t>潍坊中百</t>
  </si>
  <si>
    <t>西湖文化广场</t>
  </si>
  <si>
    <t>南京砂之船</t>
  </si>
  <si>
    <t xml:space="preserve"> 北京首创 </t>
  </si>
  <si>
    <t>淄博银座</t>
  </si>
  <si>
    <t>杭州砂之船</t>
  </si>
  <si>
    <t>盐城金鹰奥莱</t>
  </si>
  <si>
    <t>利润贡献率前五</t>
  </si>
  <si>
    <t>利润增长率前五</t>
  </si>
  <si>
    <t xml:space="preserve"> 郑州杉杉 </t>
  </si>
  <si>
    <t xml:space="preserve"> 济南东环 </t>
  </si>
  <si>
    <t xml:space="preserve"> 天美杉杉 </t>
  </si>
  <si>
    <t xml:space="preserve"> 淄博银座 </t>
  </si>
  <si>
    <t xml:space="preserve"> 沈阳尚柏 </t>
  </si>
  <si>
    <t xml:space="preserve"> 合肥砂之船 </t>
  </si>
  <si>
    <t>亏损卖场11家（不含撤柜）</t>
  </si>
  <si>
    <t>苏州木渎</t>
  </si>
  <si>
    <t>2017.2月开</t>
  </si>
  <si>
    <t xml:space="preserve"> 佛山新昌广场 </t>
  </si>
  <si>
    <t>2017.4月开</t>
  </si>
  <si>
    <t>金华一百</t>
  </si>
  <si>
    <t>2017.12月开</t>
  </si>
  <si>
    <t>杭州万达</t>
  </si>
  <si>
    <t>2017.9月开</t>
  </si>
  <si>
    <t xml:space="preserve"> 武汉百联 </t>
  </si>
  <si>
    <t>2017.5月开</t>
  </si>
  <si>
    <t xml:space="preserve"> 济南海那 </t>
  </si>
  <si>
    <t>老店</t>
  </si>
  <si>
    <t>南昌杉杉</t>
  </si>
  <si>
    <t xml:space="preserve"> 长春欧亚 </t>
  </si>
  <si>
    <t>温州大西洋</t>
  </si>
  <si>
    <t>南昌首创</t>
  </si>
  <si>
    <t>福建贵安</t>
  </si>
  <si>
    <t>一年以上卖场合计40家</t>
  </si>
  <si>
    <t>平均利润率</t>
  </si>
  <si>
    <t>平均单店业绩</t>
  </si>
  <si>
    <t>162万</t>
  </si>
  <si>
    <t>盈利</t>
  </si>
  <si>
    <t>亏损</t>
  </si>
  <si>
    <t>高于平均利润率</t>
  </si>
  <si>
    <t>18家</t>
  </si>
  <si>
    <t>和平均利润率持平</t>
  </si>
  <si>
    <t>1家</t>
  </si>
  <si>
    <t>低于平均利润率</t>
  </si>
  <si>
    <t>21家</t>
  </si>
  <si>
    <t>高于平均业绩</t>
  </si>
  <si>
    <t>12家</t>
  </si>
  <si>
    <t>低于平均业绩</t>
  </si>
  <si>
    <t>28家</t>
  </si>
  <si>
    <t>临场特卖</t>
  </si>
  <si>
    <t>利润率</t>
  </si>
  <si>
    <t>贡献率</t>
  </si>
  <si>
    <t>老店薪资占比</t>
  </si>
  <si>
    <t>新店薪资占比</t>
  </si>
  <si>
    <t xml:space="preserve">   1.仓库人员安置提出方案的同时，给予的要求不够强制；忽略人之特性</t>
    <phoneticPr fontId="89" type="noConversion"/>
  </si>
  <si>
    <t xml:space="preserve">   3.搬仓预估计划时间与实际操作时间评估有差异</t>
    <phoneticPr fontId="89" type="noConversion"/>
  </si>
  <si>
    <t xml:space="preserve">    总结，鉴于我系上述几项重大事件的直接责任人，没有充分的预评、召集、讨论、指挥、安排好各项工作，对事项可能出现的状态预估不足，没有对应的应急预案。给公司全员带来了工作上的极其不便，给公司带来损失。故取消年终奖。（取消年终奖不带任何色彩及姿态表现，纯粹觉得不想因为“苦劳”而取得这笔钱，这几年一直在拿“苦劳”的钱，这钱拿得极其不舒服，不是不爱财，只是希望能够象柳喜娟一样拿的底气十足。仅是对自己的一个鞭策。请你不要多想。）</t>
    <phoneticPr fontId="89" type="noConversion"/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</si>
</sst>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176" formatCode="#,##0_);[Red]\(#,##0\)"/>
    <numFmt numFmtId="177" formatCode="0_ "/>
    <numFmt numFmtId="178" formatCode="_ * #,##0_ ;_ * \-#,##0_ ;_ * &quot;-&quot;??_ ;_ @_ "/>
    <numFmt numFmtId="179" formatCode="0.0%"/>
    <numFmt numFmtId="180" formatCode="_ * #,##0.0_ ;_ * \-#,##0.0_ ;_ * &quot;-&quot;??_ ;_ @_ "/>
    <numFmt numFmtId="181" formatCode="#,##0_ "/>
    <numFmt numFmtId="182" formatCode="#,##0.00_ "/>
    <numFmt numFmtId="183" formatCode="0.00_ "/>
    <numFmt numFmtId="184" formatCode="0_);[Red]\(0\)"/>
  </numFmts>
  <fonts count="98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3" tint="0.39988402966399123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4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10"/>
      <color theme="1"/>
      <name val="宋体"/>
      <family val="3"/>
      <charset val="134"/>
    </font>
    <font>
      <sz val="10"/>
      <color theme="3" tint="0.39988402966399123"/>
      <name val="宋体"/>
      <family val="3"/>
      <charset val="134"/>
    </font>
    <font>
      <sz val="10"/>
      <color theme="3" tint="0.39988402966399123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3" tint="0.39991454817346722"/>
      <name val="宋体"/>
      <family val="3"/>
      <charset val="134"/>
      <scheme val="minor"/>
    </font>
    <font>
      <sz val="11"/>
      <color theme="3" tint="0.39988402966399123"/>
      <name val="宋体"/>
      <family val="3"/>
      <charset val="134"/>
      <scheme val="minor"/>
    </font>
    <font>
      <sz val="10"/>
      <color theme="3" tint="0.3999145481734672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1"/>
      <name val="Arial"/>
      <family val="2"/>
    </font>
    <font>
      <sz val="10"/>
      <color rgb="FFFF0000"/>
      <name val="宋体"/>
      <family val="3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0"/>
      <color theme="3" tint="0.39988402966399123"/>
      <name val="Arial Unicode MS"/>
      <family val="2"/>
      <charset val="134"/>
    </font>
    <font>
      <sz val="10"/>
      <name val="Arial Unicode MS"/>
      <family val="2"/>
      <charset val="134"/>
    </font>
    <font>
      <sz val="10"/>
      <color theme="3"/>
      <name val="宋体"/>
      <family val="3"/>
      <charset val="134"/>
    </font>
    <font>
      <sz val="10"/>
      <color theme="3"/>
      <name val="Arial"/>
      <family val="2"/>
    </font>
    <font>
      <sz val="10"/>
      <color theme="3" tint="-0.249977111117893"/>
      <name val="宋体"/>
      <family val="3"/>
      <charset val="134"/>
      <scheme val="minor"/>
    </font>
    <font>
      <sz val="9"/>
      <color theme="3" tint="0.59999389629810485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9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Arial"/>
      <family val="2"/>
    </font>
    <font>
      <sz val="9"/>
      <color theme="4" tint="0.39988402966399123"/>
      <name val="宋体"/>
      <family val="3"/>
      <charset val="134"/>
      <scheme val="minor"/>
    </font>
    <font>
      <sz val="9"/>
      <color theme="3" tint="0.59999389629810485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theme="1"/>
      <name val="Arial"/>
      <family val="2"/>
    </font>
    <font>
      <sz val="9"/>
      <color theme="3" tint="0.59999389629810485"/>
      <name val="Arial"/>
      <family val="2"/>
    </font>
    <font>
      <sz val="9"/>
      <color theme="3" tint="0.79995117038483843"/>
      <name val="宋体"/>
      <family val="3"/>
      <charset val="134"/>
      <scheme val="minor"/>
    </font>
    <font>
      <sz val="9"/>
      <color theme="9"/>
      <name val="Arial"/>
      <family val="2"/>
    </font>
    <font>
      <sz val="9"/>
      <color theme="9"/>
      <name val="宋体"/>
      <family val="3"/>
      <charset val="134"/>
      <scheme val="minor"/>
    </font>
    <font>
      <b/>
      <sz val="11"/>
      <name val="Arial"/>
      <family val="2"/>
    </font>
    <font>
      <b/>
      <sz val="10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36"/>
      <name val="Arial"/>
      <family val="2"/>
    </font>
    <font>
      <sz val="36"/>
      <color theme="1"/>
      <name val="宋体"/>
      <family val="3"/>
      <charset val="134"/>
      <scheme val="minor"/>
    </font>
    <font>
      <b/>
      <i/>
      <sz val="10"/>
      <name val="Arial"/>
      <family val="2"/>
    </font>
    <font>
      <sz val="16"/>
      <name val="黑体"/>
      <family val="3"/>
      <charset val="134"/>
    </font>
    <font>
      <sz val="16"/>
      <name val="Arial"/>
      <family val="2"/>
    </font>
    <font>
      <sz val="36"/>
      <name val="华文彩云"/>
      <family val="3"/>
      <charset val="134"/>
    </font>
    <font>
      <b/>
      <sz val="24"/>
      <color theme="1"/>
      <name val="黑体"/>
      <family val="3"/>
      <charset val="134"/>
    </font>
    <font>
      <sz val="2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2"/>
      <name val="Arial"/>
      <family val="2"/>
    </font>
    <font>
      <sz val="11"/>
      <name val="宋体"/>
      <family val="3"/>
      <charset val="134"/>
    </font>
    <font>
      <sz val="9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color theme="3" tint="0.3999755851924192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FF0000"/>
      <name val="Arial Unicode MS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8"/>
      <color theme="1"/>
      <name val="黑体"/>
      <family val="3"/>
      <charset val="134"/>
    </font>
    <font>
      <sz val="18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0"/>
      <color theme="3" tint="0.39988402966399123"/>
      <name val="宋体"/>
      <family val="3"/>
      <charset val="134"/>
      <scheme val="minor"/>
    </font>
    <font>
      <sz val="10"/>
      <color theme="3" tint="0.3999755851924192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b/>
      <sz val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dashDotDot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dashDotDot">
        <color theme="0" tint="-0.34998626667073579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6">
    <xf numFmtId="0" fontId="0" fillId="0" borderId="0">
      <alignment vertical="center"/>
    </xf>
    <xf numFmtId="43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9" fontId="5" fillId="0" borderId="0" xfId="2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9" fontId="5" fillId="0" borderId="0" xfId="2" applyFont="1">
      <alignment vertical="center"/>
    </xf>
    <xf numFmtId="0" fontId="9" fillId="0" borderId="0" xfId="0" applyFont="1">
      <alignment vertical="center"/>
    </xf>
    <xf numFmtId="0" fontId="12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78" fontId="14" fillId="0" borderId="0" xfId="1" applyNumberFormat="1" applyFont="1" applyFill="1" applyBorder="1" applyAlignment="1"/>
    <xf numFmtId="0" fontId="16" fillId="0" borderId="4" xfId="0" applyFont="1" applyBorder="1" applyAlignment="1">
      <alignment horizontal="left"/>
    </xf>
    <xf numFmtId="0" fontId="15" fillId="0" borderId="4" xfId="0" applyFont="1" applyBorder="1" applyAlignment="1">
      <alignment horizontal="center"/>
    </xf>
    <xf numFmtId="0" fontId="9" fillId="0" borderId="0" xfId="0" applyFont="1" applyAlignment="1"/>
    <xf numFmtId="0" fontId="20" fillId="0" borderId="4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11" xfId="0" applyFont="1" applyBorder="1" applyAlignment="1"/>
    <xf numFmtId="176" fontId="14" fillId="0" borderId="12" xfId="0" applyNumberFormat="1" applyFont="1" applyBorder="1" applyAlignment="1"/>
    <xf numFmtId="0" fontId="20" fillId="0" borderId="4" xfId="0" applyFont="1" applyBorder="1" applyAlignment="1"/>
    <xf numFmtId="0" fontId="20" fillId="0" borderId="0" xfId="0" applyFont="1" applyBorder="1" applyAlignment="1"/>
    <xf numFmtId="0" fontId="0" fillId="0" borderId="0" xfId="0" applyAlignment="1">
      <alignment vertical="center"/>
    </xf>
    <xf numFmtId="0" fontId="14" fillId="0" borderId="1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178" fontId="14" fillId="0" borderId="0" xfId="0" applyNumberFormat="1" applyFont="1" applyBorder="1" applyAlignment="1">
      <alignment horizontal="center"/>
    </xf>
    <xf numFmtId="9" fontId="0" fillId="0" borderId="0" xfId="2" applyFont="1" applyAlignment="1"/>
    <xf numFmtId="0" fontId="16" fillId="0" borderId="4" xfId="0" applyFont="1" applyFill="1" applyBorder="1" applyAlignment="1">
      <alignment horizontal="center"/>
    </xf>
    <xf numFmtId="0" fontId="22" fillId="0" borderId="0" xfId="6" applyFont="1" applyAlignment="1"/>
    <xf numFmtId="0" fontId="22" fillId="0" borderId="0" xfId="12" applyFont="1" applyAlignment="1"/>
    <xf numFmtId="0" fontId="22" fillId="0" borderId="0" xfId="7" applyFont="1" applyAlignment="1"/>
    <xf numFmtId="0" fontId="22" fillId="0" borderId="0" xfId="5" applyFont="1" applyAlignment="1"/>
    <xf numFmtId="9" fontId="23" fillId="0" borderId="0" xfId="2" applyFont="1" applyAlignment="1"/>
    <xf numFmtId="0" fontId="16" fillId="0" borderId="4" xfId="0" applyFont="1" applyBorder="1" applyAlignment="1">
      <alignment horizontal="center"/>
    </xf>
    <xf numFmtId="0" fontId="17" fillId="0" borderId="0" xfId="1" applyNumberFormat="1" applyFont="1" applyAlignment="1"/>
    <xf numFmtId="0" fontId="22" fillId="0" borderId="0" xfId="1" applyNumberFormat="1" applyFont="1" applyAlignment="1"/>
    <xf numFmtId="0" fontId="24" fillId="0" borderId="0" xfId="1" applyNumberFormat="1" applyFont="1" applyAlignment="1">
      <alignment horizontal="right"/>
    </xf>
    <xf numFmtId="0" fontId="22" fillId="0" borderId="0" xfId="1" applyNumberFormat="1" applyFont="1" applyAlignment="1">
      <alignment horizontal="right"/>
    </xf>
    <xf numFmtId="176" fontId="14" fillId="0" borderId="0" xfId="0" applyNumberFormat="1" applyFont="1" applyBorder="1" applyAlignment="1"/>
    <xf numFmtId="176" fontId="14" fillId="0" borderId="0" xfId="0" applyNumberFormat="1" applyFont="1" applyBorder="1" applyAlignment="1">
      <alignment horizontal="right"/>
    </xf>
    <xf numFmtId="9" fontId="0" fillId="0" borderId="12" xfId="2" applyFont="1" applyBorder="1">
      <alignment vertical="center"/>
    </xf>
    <xf numFmtId="43" fontId="14" fillId="0" borderId="0" xfId="0" applyNumberFormat="1" applyFont="1" applyAlignment="1"/>
    <xf numFmtId="9" fontId="9" fillId="0" borderId="0" xfId="2" applyFont="1">
      <alignment vertical="center"/>
    </xf>
    <xf numFmtId="0" fontId="26" fillId="0" borderId="8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/>
    </xf>
    <xf numFmtId="9" fontId="20" fillId="0" borderId="4" xfId="2" applyFont="1" applyBorder="1" applyAlignment="1">
      <alignment horizontal="center"/>
    </xf>
    <xf numFmtId="9" fontId="14" fillId="0" borderId="0" xfId="2" applyFont="1" applyFill="1" applyBorder="1" applyAlignment="1"/>
    <xf numFmtId="41" fontId="14" fillId="0" borderId="0" xfId="0" applyNumberFormat="1" applyFont="1" applyBorder="1" applyAlignment="1">
      <alignment horizontal="right"/>
    </xf>
    <xf numFmtId="0" fontId="18" fillId="0" borderId="15" xfId="0" applyFont="1" applyBorder="1" applyAlignment="1"/>
    <xf numFmtId="0" fontId="20" fillId="0" borderId="16" xfId="0" applyFont="1" applyBorder="1" applyAlignment="1">
      <alignment horizontal="right"/>
    </xf>
    <xf numFmtId="49" fontId="14" fillId="0" borderId="16" xfId="0" applyNumberFormat="1" applyFont="1" applyBorder="1" applyAlignment="1">
      <alignment horizontal="right"/>
    </xf>
    <xf numFmtId="49" fontId="18" fillId="0" borderId="16" xfId="0" applyNumberFormat="1" applyFont="1" applyBorder="1" applyAlignment="1">
      <alignment horizontal="right"/>
    </xf>
    <xf numFmtId="0" fontId="20" fillId="0" borderId="17" xfId="0" applyFont="1" applyBorder="1" applyAlignment="1"/>
    <xf numFmtId="9" fontId="20" fillId="0" borderId="0" xfId="0" applyNumberFormat="1" applyFont="1" applyBorder="1" applyAlignment="1"/>
    <xf numFmtId="9" fontId="14" fillId="0" borderId="0" xfId="2" applyFont="1" applyAlignment="1"/>
    <xf numFmtId="9" fontId="19" fillId="0" borderId="0" xfId="2" applyFont="1" applyAlignment="1"/>
    <xf numFmtId="9" fontId="20" fillId="0" borderId="0" xfId="2" applyFont="1" applyBorder="1" applyAlignment="1"/>
    <xf numFmtId="179" fontId="14" fillId="0" borderId="0" xfId="2" applyNumberFormat="1" applyFont="1" applyAlignment="1"/>
    <xf numFmtId="0" fontId="14" fillId="0" borderId="17" xfId="0" applyFont="1" applyBorder="1" applyAlignment="1"/>
    <xf numFmtId="9" fontId="14" fillId="0" borderId="0" xfId="2" applyFont="1" applyBorder="1" applyAlignment="1"/>
    <xf numFmtId="0" fontId="14" fillId="0" borderId="0" xfId="0" applyFont="1" applyBorder="1" applyAlignment="1"/>
    <xf numFmtId="179" fontId="13" fillId="0" borderId="8" xfId="0" applyNumberFormat="1" applyFont="1" applyBorder="1" applyAlignment="1">
      <alignment horizontal="center"/>
    </xf>
    <xf numFmtId="176" fontId="14" fillId="0" borderId="0" xfId="1" applyNumberFormat="1" applyFont="1" applyFill="1" applyAlignment="1"/>
    <xf numFmtId="0" fontId="0" fillId="0" borderId="12" xfId="0" applyBorder="1">
      <alignment vertical="center"/>
    </xf>
    <xf numFmtId="43" fontId="20" fillId="0" borderId="16" xfId="0" applyNumberFormat="1" applyFont="1" applyBorder="1" applyAlignment="1">
      <alignment horizontal="right"/>
    </xf>
    <xf numFmtId="9" fontId="14" fillId="0" borderId="0" xfId="0" applyNumberFormat="1" applyFont="1" applyAlignment="1"/>
    <xf numFmtId="43" fontId="20" fillId="0" borderId="0" xfId="0" applyNumberFormat="1" applyFont="1" applyAlignment="1">
      <alignment horizontal="right" vertical="center" wrapText="1"/>
    </xf>
    <xf numFmtId="0" fontId="23" fillId="0" borderId="0" xfId="0" applyFont="1">
      <alignment vertical="center"/>
    </xf>
    <xf numFmtId="0" fontId="9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10" xfId="0" applyBorder="1">
      <alignment vertical="center"/>
    </xf>
    <xf numFmtId="0" fontId="27" fillId="0" borderId="13" xfId="0" applyFont="1" applyBorder="1" applyAlignment="1">
      <alignment horizontal="center"/>
    </xf>
    <xf numFmtId="0" fontId="31" fillId="0" borderId="14" xfId="0" applyFont="1" applyBorder="1">
      <alignment vertical="center"/>
    </xf>
    <xf numFmtId="0" fontId="20" fillId="0" borderId="23" xfId="0" applyFont="1" applyBorder="1" applyAlignment="1">
      <alignment horizontal="left"/>
    </xf>
    <xf numFmtId="180" fontId="32" fillId="0" borderId="0" xfId="1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30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 wrapText="1"/>
    </xf>
    <xf numFmtId="0" fontId="31" fillId="0" borderId="4" xfId="0" applyFont="1" applyBorder="1">
      <alignment vertical="center"/>
    </xf>
    <xf numFmtId="179" fontId="34" fillId="0" borderId="0" xfId="2" applyNumberFormat="1" applyFont="1" applyBorder="1" applyAlignment="1">
      <alignment horizontal="center" vertical="center" wrapText="1"/>
    </xf>
    <xf numFmtId="178" fontId="14" fillId="2" borderId="0" xfId="1" applyNumberFormat="1" applyFont="1" applyFill="1" applyBorder="1" applyAlignment="1">
      <alignment horizontal="right" vertical="center"/>
    </xf>
    <xf numFmtId="179" fontId="35" fillId="0" borderId="0" xfId="2" applyNumberFormat="1" applyFont="1" applyBorder="1" applyAlignment="1">
      <alignment horizontal="center" vertical="center" wrapText="1"/>
    </xf>
    <xf numFmtId="176" fontId="14" fillId="2" borderId="0" xfId="1" applyNumberFormat="1" applyFont="1" applyFill="1" applyBorder="1" applyAlignment="1">
      <alignment horizontal="right" vertical="center"/>
    </xf>
    <xf numFmtId="180" fontId="14" fillId="2" borderId="0" xfId="1" applyNumberFormat="1" applyFont="1" applyFill="1" applyBorder="1" applyAlignment="1">
      <alignment horizontal="right" vertical="center"/>
    </xf>
    <xf numFmtId="180" fontId="32" fillId="0" borderId="0" xfId="0" applyNumberFormat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left"/>
    </xf>
    <xf numFmtId="180" fontId="32" fillId="2" borderId="0" xfId="0" applyNumberFormat="1" applyFont="1" applyFill="1" applyBorder="1" applyAlignment="1"/>
    <xf numFmtId="180" fontId="32" fillId="0" borderId="0" xfId="0" applyNumberFormat="1" applyFont="1" applyFill="1" applyBorder="1" applyAlignment="1"/>
    <xf numFmtId="0" fontId="23" fillId="0" borderId="4" xfId="0" applyFont="1" applyBorder="1">
      <alignment vertical="center"/>
    </xf>
    <xf numFmtId="180" fontId="32" fillId="0" borderId="0" xfId="0" applyNumberFormat="1" applyFont="1" applyFill="1" applyAlignment="1"/>
    <xf numFmtId="179" fontId="36" fillId="0" borderId="0" xfId="2" applyNumberFormat="1" applyFont="1" applyBorder="1" applyAlignment="1">
      <alignment horizontal="center" vertical="center" wrapText="1"/>
    </xf>
    <xf numFmtId="180" fontId="14" fillId="2" borderId="0" xfId="0" applyNumberFormat="1" applyFont="1" applyFill="1" applyAlignment="1"/>
    <xf numFmtId="180" fontId="14" fillId="0" borderId="0" xfId="0" applyNumberFormat="1" applyFont="1" applyFill="1" applyAlignment="1"/>
    <xf numFmtId="0" fontId="9" fillId="0" borderId="4" xfId="0" applyFont="1" applyBorder="1">
      <alignment vertical="center"/>
    </xf>
    <xf numFmtId="0" fontId="31" fillId="0" borderId="4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16" fillId="0" borderId="4" xfId="0" applyFont="1" applyFill="1" applyBorder="1" applyAlignment="1">
      <alignment horizontal="left"/>
    </xf>
    <xf numFmtId="0" fontId="0" fillId="0" borderId="4" xfId="0" applyFill="1" applyBorder="1">
      <alignment vertical="center"/>
    </xf>
    <xf numFmtId="180" fontId="14" fillId="2" borderId="0" xfId="0" applyNumberFormat="1" applyFont="1" applyFill="1" applyBorder="1" applyAlignment="1">
      <alignment horizontal="right"/>
    </xf>
    <xf numFmtId="180" fontId="32" fillId="0" borderId="0" xfId="0" applyNumberFormat="1" applyFont="1" applyFill="1" applyBorder="1" applyAlignment="1">
      <alignment horizontal="right"/>
    </xf>
    <xf numFmtId="0" fontId="0" fillId="0" borderId="11" xfId="0" applyBorder="1">
      <alignment vertical="center"/>
    </xf>
    <xf numFmtId="180" fontId="32" fillId="0" borderId="12" xfId="0" applyNumberFormat="1" applyFont="1" applyFill="1" applyBorder="1" applyAlignment="1"/>
    <xf numFmtId="9" fontId="14" fillId="0" borderId="12" xfId="2" applyFont="1" applyBorder="1" applyAlignment="1">
      <alignment horizontal="center"/>
    </xf>
    <xf numFmtId="0" fontId="18" fillId="0" borderId="4" xfId="0" applyFont="1" applyBorder="1" applyAlignment="1"/>
    <xf numFmtId="43" fontId="32" fillId="0" borderId="0" xfId="0" applyNumberFormat="1" applyFont="1" applyFill="1" applyAlignment="1"/>
    <xf numFmtId="0" fontId="18" fillId="0" borderId="0" xfId="0" applyFont="1" applyBorder="1" applyAlignment="1"/>
    <xf numFmtId="181" fontId="0" fillId="0" borderId="0" xfId="0" applyNumberFormat="1" applyFont="1" applyFill="1">
      <alignment vertical="center"/>
    </xf>
    <xf numFmtId="43" fontId="0" fillId="0" borderId="0" xfId="0" applyNumberFormat="1">
      <alignment vertical="center"/>
    </xf>
    <xf numFmtId="0" fontId="20" fillId="0" borderId="14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176" fontId="38" fillId="0" borderId="0" xfId="0" applyNumberFormat="1" applyFont="1" applyBorder="1" applyAlignment="1">
      <alignment horizontal="right"/>
    </xf>
    <xf numFmtId="0" fontId="18" fillId="0" borderId="0" xfId="0" applyFont="1" applyBorder="1" applyAlignment="1">
      <alignment horizontal="left"/>
    </xf>
    <xf numFmtId="176" fontId="38" fillId="0" borderId="0" xfId="0" applyNumberFormat="1" applyFont="1" applyFill="1" applyBorder="1" applyAlignment="1"/>
    <xf numFmtId="176" fontId="14" fillId="0" borderId="0" xfId="0" applyNumberFormat="1" applyFont="1" applyFill="1" applyBorder="1" applyAlignment="1"/>
    <xf numFmtId="176" fontId="38" fillId="0" borderId="0" xfId="1" applyNumberFormat="1" applyFont="1" applyFill="1" applyBorder="1" applyAlignment="1"/>
    <xf numFmtId="0" fontId="14" fillId="0" borderId="0" xfId="1" applyNumberFormat="1" applyFont="1" applyFill="1" applyBorder="1" applyAlignment="1"/>
    <xf numFmtId="176" fontId="14" fillId="0" borderId="0" xfId="1" applyNumberFormat="1" applyFont="1" applyFill="1" applyBorder="1" applyAlignment="1"/>
    <xf numFmtId="176" fontId="38" fillId="0" borderId="0" xfId="0" applyNumberFormat="1" applyFont="1" applyBorder="1" applyAlignment="1"/>
    <xf numFmtId="176" fontId="38" fillId="0" borderId="0" xfId="0" applyNumberFormat="1" applyFont="1" applyAlignment="1"/>
    <xf numFmtId="0" fontId="20" fillId="0" borderId="25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0" xfId="0" applyFont="1" applyFill="1" applyBorder="1" applyAlignment="1"/>
    <xf numFmtId="176" fontId="38" fillId="0" borderId="0" xfId="1" applyNumberFormat="1" applyFont="1" applyFill="1" applyAlignment="1">
      <alignment horizontal="right"/>
    </xf>
    <xf numFmtId="9" fontId="9" fillId="0" borderId="0" xfId="2" applyFont="1" applyBorder="1" applyAlignment="1"/>
    <xf numFmtId="176" fontId="14" fillId="0" borderId="0" xfId="1" applyNumberFormat="1" applyFont="1" applyFill="1" applyAlignment="1">
      <alignment horizontal="right"/>
    </xf>
    <xf numFmtId="9" fontId="39" fillId="0" borderId="0" xfId="2" applyFont="1" applyBorder="1" applyAlignment="1"/>
    <xf numFmtId="176" fontId="38" fillId="0" borderId="0" xfId="1" applyNumberFormat="1" applyFont="1" applyFill="1" applyAlignment="1"/>
    <xf numFmtId="0" fontId="0" fillId="0" borderId="26" xfId="0" applyBorder="1" applyAlignment="1"/>
    <xf numFmtId="9" fontId="39" fillId="0" borderId="0" xfId="2" applyFont="1" applyAlignment="1"/>
    <xf numFmtId="9" fontId="9" fillId="0" borderId="0" xfId="2" applyFont="1" applyAlignment="1"/>
    <xf numFmtId="0" fontId="9" fillId="0" borderId="0" xfId="0" applyFont="1" applyBorder="1" applyAlignment="1"/>
    <xf numFmtId="0" fontId="40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1" fillId="0" borderId="8" xfId="0" applyFont="1" applyBorder="1" applyAlignment="1">
      <alignment horizontal="center"/>
    </xf>
    <xf numFmtId="0" fontId="42" fillId="0" borderId="8" xfId="0" applyFont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43" fillId="0" borderId="8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7" fillId="0" borderId="0" xfId="0" applyFont="1" applyFill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Fill="1">
      <alignment vertical="center"/>
    </xf>
    <xf numFmtId="0" fontId="5" fillId="0" borderId="0" xfId="0" applyFont="1" applyFill="1" applyBorder="1">
      <alignment vertical="center"/>
    </xf>
    <xf numFmtId="0" fontId="40" fillId="0" borderId="0" xfId="0" applyFont="1" applyFill="1" applyBorder="1">
      <alignment vertical="center"/>
    </xf>
    <xf numFmtId="176" fontId="46" fillId="0" borderId="0" xfId="0" applyNumberFormat="1" applyFont="1" applyFill="1" applyBorder="1" applyAlignment="1"/>
    <xf numFmtId="0" fontId="47" fillId="0" borderId="0" xfId="0" applyFont="1" applyBorder="1" applyAlignment="1">
      <alignment horizontal="center" vertical="center"/>
    </xf>
    <xf numFmtId="41" fontId="7" fillId="0" borderId="0" xfId="0" applyNumberFormat="1" applyFont="1" applyBorder="1">
      <alignment vertical="center"/>
    </xf>
    <xf numFmtId="41" fontId="48" fillId="0" borderId="0" xfId="0" applyNumberFormat="1" applyFont="1" applyFill="1" applyBorder="1" applyAlignment="1">
      <alignment horizontal="center" vertical="center" wrapText="1"/>
    </xf>
    <xf numFmtId="41" fontId="48" fillId="0" borderId="0" xfId="0" applyNumberFormat="1" applyFont="1" applyBorder="1" applyAlignment="1">
      <alignment horizontal="center" vertical="center" wrapText="1"/>
    </xf>
    <xf numFmtId="41" fontId="7" fillId="0" borderId="0" xfId="1" applyNumberFormat="1" applyFont="1" applyBorder="1">
      <alignment vertical="center"/>
    </xf>
    <xf numFmtId="41" fontId="7" fillId="3" borderId="0" xfId="0" applyNumberFormat="1" applyFont="1" applyFill="1" applyBorder="1">
      <alignment vertical="center"/>
    </xf>
    <xf numFmtId="41" fontId="5" fillId="0" borderId="0" xfId="0" applyNumberFormat="1" applyFont="1" applyBorder="1">
      <alignment vertical="center"/>
    </xf>
    <xf numFmtId="41" fontId="40" fillId="0" borderId="7" xfId="0" applyNumberFormat="1" applyFont="1" applyBorder="1">
      <alignment vertical="center"/>
    </xf>
    <xf numFmtId="0" fontId="44" fillId="0" borderId="4" xfId="0" applyFont="1" applyBorder="1" applyAlignment="1"/>
    <xf numFmtId="0" fontId="44" fillId="0" borderId="0" xfId="0" applyFont="1" applyBorder="1" applyAlignment="1">
      <alignment horizontal="center" vertical="center"/>
    </xf>
    <xf numFmtId="43" fontId="43" fillId="0" borderId="0" xfId="0" applyNumberFormat="1" applyFont="1" applyAlignment="1"/>
    <xf numFmtId="0" fontId="43" fillId="0" borderId="0" xfId="0" applyFont="1" applyAlignment="1"/>
    <xf numFmtId="0" fontId="43" fillId="0" borderId="0" xfId="0" applyFont="1" applyAlignment="1">
      <alignment horizontal="center" vertical="center"/>
    </xf>
    <xf numFmtId="0" fontId="49" fillId="0" borderId="0" xfId="0" applyFont="1" applyBorder="1" applyAlignment="1">
      <alignment horizontal="left" wrapText="1"/>
    </xf>
    <xf numFmtId="4" fontId="49" fillId="0" borderId="0" xfId="0" applyNumberFormat="1" applyFont="1" applyBorder="1" applyAlignment="1">
      <alignment horizontal="center" vertical="center" wrapText="1"/>
    </xf>
    <xf numFmtId="179" fontId="41" fillId="0" borderId="8" xfId="0" applyNumberFormat="1" applyFont="1" applyBorder="1" applyAlignment="1">
      <alignment horizontal="center"/>
    </xf>
    <xf numFmtId="176" fontId="50" fillId="0" borderId="0" xfId="0" applyNumberFormat="1" applyFont="1" applyFill="1" applyBorder="1" applyAlignment="1"/>
    <xf numFmtId="177" fontId="5" fillId="0" borderId="0" xfId="0" applyNumberFormat="1" applyFont="1" applyFill="1" applyBorder="1">
      <alignment vertical="center"/>
    </xf>
    <xf numFmtId="176" fontId="51" fillId="0" borderId="0" xfId="0" applyNumberFormat="1" applyFont="1" applyFill="1" applyBorder="1" applyAlignment="1"/>
    <xf numFmtId="177" fontId="40" fillId="0" borderId="0" xfId="0" applyNumberFormat="1" applyFont="1" applyFill="1" applyBorder="1">
      <alignment vertical="center"/>
    </xf>
    <xf numFmtId="177" fontId="52" fillId="0" borderId="0" xfId="0" applyNumberFormat="1" applyFont="1" applyFill="1" applyBorder="1">
      <alignment vertical="center"/>
    </xf>
    <xf numFmtId="176" fontId="53" fillId="0" borderId="0" xfId="0" applyNumberFormat="1" applyFont="1" applyBorder="1" applyAlignment="1"/>
    <xf numFmtId="176" fontId="53" fillId="0" borderId="7" xfId="0" applyNumberFormat="1" applyFont="1" applyBorder="1" applyAlignment="1"/>
    <xf numFmtId="41" fontId="50" fillId="0" borderId="0" xfId="1" applyNumberFormat="1" applyFont="1" applyBorder="1" applyAlignment="1"/>
    <xf numFmtId="41" fontId="40" fillId="0" borderId="0" xfId="1" applyNumberFormat="1" applyFont="1" applyFill="1" applyBorder="1">
      <alignment vertical="center"/>
    </xf>
    <xf numFmtId="41" fontId="51" fillId="3" borderId="0" xfId="1" applyNumberFormat="1" applyFont="1" applyFill="1" applyBorder="1" applyAlignment="1"/>
    <xf numFmtId="41" fontId="51" fillId="0" borderId="0" xfId="1" applyNumberFormat="1" applyFont="1" applyBorder="1" applyAlignment="1"/>
    <xf numFmtId="41" fontId="51" fillId="0" borderId="7" xfId="1" applyNumberFormat="1" applyFont="1" applyBorder="1" applyAlignment="1"/>
    <xf numFmtId="178" fontId="46" fillId="0" borderId="0" xfId="0" applyNumberFormat="1" applyFont="1" applyAlignment="1"/>
    <xf numFmtId="0" fontId="26" fillId="0" borderId="0" xfId="0" applyFont="1" applyAlignment="1"/>
    <xf numFmtId="0" fontId="55" fillId="0" borderId="12" xfId="0" applyFont="1" applyBorder="1" applyAlignment="1">
      <alignment horizontal="centerContinuous"/>
    </xf>
    <xf numFmtId="0" fontId="26" fillId="0" borderId="12" xfId="0" applyFont="1" applyBorder="1" applyAlignment="1">
      <alignment horizontal="centerContinuous"/>
    </xf>
    <xf numFmtId="0" fontId="26" fillId="0" borderId="0" xfId="0" applyFont="1" applyAlignment="1">
      <alignment horizontal="center"/>
    </xf>
    <xf numFmtId="0" fontId="20" fillId="0" borderId="0" xfId="0" applyFont="1" applyAlignment="1"/>
    <xf numFmtId="0" fontId="20" fillId="0" borderId="0" xfId="0" applyFont="1" applyAlignment="1">
      <alignment horizontal="center"/>
    </xf>
    <xf numFmtId="0" fontId="56" fillId="0" borderId="0" xfId="0" applyFont="1" applyAlignment="1">
      <alignment horizontal="left"/>
    </xf>
    <xf numFmtId="0" fontId="56" fillId="0" borderId="0" xfId="0" applyFont="1" applyAlignment="1">
      <alignment horizontal="center"/>
    </xf>
    <xf numFmtId="0" fontId="56" fillId="0" borderId="0" xfId="0" applyFont="1" applyBorder="1" applyAlignment="1">
      <alignment horizontal="center"/>
    </xf>
    <xf numFmtId="0" fontId="0" fillId="0" borderId="0" xfId="0" applyAlignment="1"/>
    <xf numFmtId="0" fontId="58" fillId="0" borderId="0" xfId="0" applyFont="1" applyAlignment="1"/>
    <xf numFmtId="0" fontId="59" fillId="0" borderId="0" xfId="0" applyFont="1" applyAlignment="1"/>
    <xf numFmtId="0" fontId="60" fillId="0" borderId="0" xfId="0" applyFont="1" applyAlignment="1"/>
    <xf numFmtId="0" fontId="58" fillId="0" borderId="7" xfId="0" applyFont="1" applyBorder="1" applyAlignment="1">
      <alignment horizontal="centerContinuous"/>
    </xf>
    <xf numFmtId="0" fontId="65" fillId="0" borderId="7" xfId="0" applyFont="1" applyBorder="1" applyAlignment="1">
      <alignment horizontal="centerContinuous"/>
    </xf>
    <xf numFmtId="0" fontId="0" fillId="0" borderId="0" xfId="0" applyAlignment="1">
      <alignment horizontal="centerContinuous"/>
    </xf>
    <xf numFmtId="0" fontId="60" fillId="0" borderId="0" xfId="0" applyFont="1" applyAlignment="1">
      <alignment horizontal="centerContinuous"/>
    </xf>
    <xf numFmtId="15" fontId="60" fillId="0" borderId="0" xfId="0" applyNumberFormat="1" applyFont="1" applyAlignment="1">
      <alignment horizontal="centerContinuous"/>
    </xf>
    <xf numFmtId="0" fontId="0" fillId="0" borderId="0" xfId="0" quotePrefix="1" applyAlignment="1">
      <alignment horizontal="centerContinuous"/>
    </xf>
    <xf numFmtId="0" fontId="20" fillId="0" borderId="0" xfId="0" quotePrefix="1" applyFont="1" applyAlignment="1"/>
    <xf numFmtId="0" fontId="71" fillId="0" borderId="4" xfId="0" applyFont="1" applyBorder="1" applyAlignment="1">
      <alignment horizontal="left"/>
    </xf>
    <xf numFmtId="0" fontId="72" fillId="0" borderId="4" xfId="0" applyFont="1" applyBorder="1" applyAlignment="1">
      <alignment horizontal="left"/>
    </xf>
    <xf numFmtId="0" fontId="71" fillId="0" borderId="24" xfId="0" applyFont="1" applyBorder="1" applyAlignment="1">
      <alignment horizontal="left"/>
    </xf>
    <xf numFmtId="179" fontId="19" fillId="0" borderId="0" xfId="2" applyNumberFormat="1" applyFont="1" applyBorder="1" applyAlignment="1">
      <alignment horizontal="right"/>
    </xf>
    <xf numFmtId="43" fontId="9" fillId="0" borderId="0" xfId="1" applyFont="1" applyAlignment="1"/>
    <xf numFmtId="41" fontId="9" fillId="0" borderId="0" xfId="0" applyNumberFormat="1" applyFont="1" applyAlignment="1"/>
    <xf numFmtId="9" fontId="14" fillId="0" borderId="0" xfId="2" applyFont="1" applyBorder="1" applyAlignment="1">
      <alignment horizontal="right"/>
    </xf>
    <xf numFmtId="41" fontId="9" fillId="0" borderId="0" xfId="8" applyNumberFormat="1" applyFont="1" applyAlignment="1"/>
    <xf numFmtId="41" fontId="9" fillId="0" borderId="0" xfId="9" applyNumberFormat="1" applyFont="1" applyAlignment="1"/>
    <xf numFmtId="41" fontId="14" fillId="0" borderId="0" xfId="0" applyNumberFormat="1" applyFont="1" applyBorder="1" applyAlignment="1">
      <alignment horizontal="center"/>
    </xf>
    <xf numFmtId="41" fontId="14" fillId="0" borderId="0" xfId="1" applyNumberFormat="1" applyFont="1" applyBorder="1" applyAlignment="1">
      <alignment horizontal="center"/>
    </xf>
    <xf numFmtId="43" fontId="14" fillId="0" borderId="0" xfId="1" applyFont="1" applyBorder="1" applyAlignment="1">
      <alignment horizontal="center"/>
    </xf>
    <xf numFmtId="43" fontId="14" fillId="0" borderId="0" xfId="0" applyNumberFormat="1" applyFont="1" applyBorder="1" applyAlignment="1">
      <alignment horizontal="center"/>
    </xf>
    <xf numFmtId="179" fontId="20" fillId="0" borderId="0" xfId="0" applyNumberFormat="1" applyFont="1" applyBorder="1" applyAlignment="1"/>
    <xf numFmtId="179" fontId="20" fillId="0" borderId="0" xfId="2" applyNumberFormat="1" applyFont="1" applyBorder="1" applyAlignment="1"/>
    <xf numFmtId="180" fontId="32" fillId="0" borderId="0" xfId="1" applyNumberFormat="1" applyFont="1" applyFill="1" applyAlignment="1"/>
    <xf numFmtId="178" fontId="14" fillId="0" borderId="0" xfId="0" applyNumberFormat="1" applyFont="1" applyFill="1" applyBorder="1" applyAlignment="1">
      <alignment horizontal="center" vertical="center"/>
    </xf>
    <xf numFmtId="179" fontId="74" fillId="0" borderId="0" xfId="2" applyNumberFormat="1" applyFont="1" applyBorder="1" applyAlignment="1">
      <alignment horizontal="center" vertical="center" wrapText="1"/>
    </xf>
    <xf numFmtId="9" fontId="19" fillId="0" borderId="12" xfId="2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3" fontId="14" fillId="2" borderId="0" xfId="1" applyFont="1" applyFill="1" applyAlignment="1"/>
    <xf numFmtId="0" fontId="25" fillId="0" borderId="0" xfId="0" applyFont="1" applyAlignment="1">
      <alignment horizontal="center"/>
    </xf>
    <xf numFmtId="176" fontId="14" fillId="0" borderId="12" xfId="0" applyNumberFormat="1" applyFont="1" applyBorder="1" applyAlignment="1">
      <alignment horizontal="center"/>
    </xf>
    <xf numFmtId="0" fontId="75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6" fillId="0" borderId="0" xfId="0" applyFont="1">
      <alignment vertical="center"/>
    </xf>
    <xf numFmtId="0" fontId="0" fillId="0" borderId="0" xfId="0" applyBorder="1" applyAlignment="1">
      <alignment vertical="center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3" fillId="0" borderId="0" xfId="0" applyFont="1" applyBorder="1" applyAlignment="1">
      <alignment horizontal="center" vertical="center" wrapText="1"/>
    </xf>
    <xf numFmtId="9" fontId="79" fillId="0" borderId="0" xfId="0" applyNumberFormat="1" applyFont="1" applyBorder="1" applyAlignment="1">
      <alignment horizontal="center" vertical="center"/>
    </xf>
    <xf numFmtId="0" fontId="79" fillId="0" borderId="0" xfId="0" applyFont="1" applyBorder="1" applyAlignment="1">
      <alignment horizontal="center" vertical="center"/>
    </xf>
    <xf numFmtId="0" fontId="75" fillId="0" borderId="0" xfId="0" applyFont="1" applyAlignment="1">
      <alignment horizontal="right" vertical="center"/>
    </xf>
    <xf numFmtId="10" fontId="0" fillId="0" borderId="0" xfId="0" applyNumberFormat="1">
      <alignment vertical="center"/>
    </xf>
    <xf numFmtId="179" fontId="79" fillId="0" borderId="0" xfId="2" applyNumberFormat="1" applyFont="1">
      <alignment vertical="center"/>
    </xf>
    <xf numFmtId="179" fontId="83" fillId="0" borderId="0" xfId="2" applyNumberFormat="1" applyFont="1">
      <alignment vertical="center"/>
    </xf>
    <xf numFmtId="179" fontId="79" fillId="0" borderId="0" xfId="2" applyNumberFormat="1" applyFont="1" applyFill="1">
      <alignment vertical="center"/>
    </xf>
    <xf numFmtId="179" fontId="84" fillId="0" borderId="0" xfId="2" applyNumberFormat="1" applyFont="1">
      <alignment vertical="center"/>
    </xf>
    <xf numFmtId="179" fontId="84" fillId="0" borderId="0" xfId="2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Border="1" applyAlignment="1">
      <alignment horizontal="center"/>
    </xf>
    <xf numFmtId="9" fontId="14" fillId="0" borderId="0" xfId="2" applyFont="1" applyBorder="1" applyAlignment="1">
      <alignment horizontal="center"/>
    </xf>
    <xf numFmtId="0" fontId="0" fillId="0" borderId="29" xfId="0" applyBorder="1" applyAlignment="1">
      <alignment horizontal="center" vertical="center"/>
    </xf>
    <xf numFmtId="182" fontId="0" fillId="0" borderId="29" xfId="0" applyNumberFormat="1" applyBorder="1" applyAlignment="1">
      <alignment horizontal="center" vertical="center"/>
    </xf>
    <xf numFmtId="10" fontId="0" fillId="0" borderId="2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82" fontId="0" fillId="0" borderId="0" xfId="0" applyNumberFormat="1" applyBorder="1" applyAlignment="1">
      <alignment horizontal="center" vertical="center"/>
    </xf>
    <xf numFmtId="10" fontId="0" fillId="0" borderId="3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30" xfId="0" applyFill="1" applyBorder="1" applyAlignment="1">
      <alignment horizontal="center" vertical="center" shrinkToFit="1"/>
    </xf>
    <xf numFmtId="183" fontId="0" fillId="0" borderId="0" xfId="0" applyNumberForma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177" fontId="0" fillId="0" borderId="0" xfId="0" applyNumberFormat="1" applyAlignment="1">
      <alignment horizontal="center" vertical="center" shrinkToFit="1"/>
    </xf>
    <xf numFmtId="9" fontId="0" fillId="0" borderId="0" xfId="0" applyNumberFormat="1" applyBorder="1">
      <alignment vertical="center"/>
    </xf>
    <xf numFmtId="177" fontId="0" fillId="0" borderId="33" xfId="0" applyNumberFormat="1" applyBorder="1">
      <alignment vertical="center"/>
    </xf>
    <xf numFmtId="181" fontId="0" fillId="0" borderId="7" xfId="0" applyNumberFormat="1" applyBorder="1">
      <alignment vertical="center"/>
    </xf>
    <xf numFmtId="9" fontId="0" fillId="0" borderId="7" xfId="0" applyNumberFormat="1" applyBorder="1">
      <alignment vertical="center"/>
    </xf>
    <xf numFmtId="177" fontId="0" fillId="0" borderId="34" xfId="0" applyNumberFormat="1" applyBorder="1">
      <alignment vertical="center"/>
    </xf>
    <xf numFmtId="0" fontId="85" fillId="0" borderId="0" xfId="0" applyFont="1">
      <alignment vertical="center"/>
    </xf>
    <xf numFmtId="0" fontId="79" fillId="0" borderId="0" xfId="0" applyFont="1">
      <alignment vertical="center"/>
    </xf>
    <xf numFmtId="0" fontId="0" fillId="0" borderId="0" xfId="0" applyNumberFormat="1" applyBorder="1">
      <alignment vertical="center"/>
    </xf>
    <xf numFmtId="181" fontId="0" fillId="0" borderId="0" xfId="0" applyNumberFormat="1" applyBorder="1">
      <alignment vertical="center"/>
    </xf>
    <xf numFmtId="181" fontId="0" fillId="0" borderId="0" xfId="0" applyNumberFormat="1" applyFill="1" applyBorder="1">
      <alignment vertical="center"/>
    </xf>
    <xf numFmtId="9" fontId="0" fillId="0" borderId="0" xfId="2" applyFont="1" applyBorder="1">
      <alignment vertical="center"/>
    </xf>
    <xf numFmtId="181" fontId="0" fillId="0" borderId="32" xfId="0" applyNumberFormat="1" applyBorder="1">
      <alignment vertical="center"/>
    </xf>
    <xf numFmtId="10" fontId="0" fillId="0" borderId="32" xfId="0" applyNumberFormat="1" applyBorder="1">
      <alignment vertical="center"/>
    </xf>
    <xf numFmtId="10" fontId="0" fillId="0" borderId="0" xfId="0" applyNumberFormat="1" applyBorder="1">
      <alignment vertical="center"/>
    </xf>
    <xf numFmtId="181" fontId="0" fillId="5" borderId="0" xfId="0" applyNumberFormat="1" applyFill="1" applyBorder="1">
      <alignment vertical="center"/>
    </xf>
    <xf numFmtId="10" fontId="0" fillId="5" borderId="0" xfId="0" applyNumberFormat="1" applyFill="1" applyBorder="1">
      <alignment vertical="center"/>
    </xf>
    <xf numFmtId="181" fontId="0" fillId="4" borderId="0" xfId="0" applyNumberFormat="1" applyFill="1" applyBorder="1">
      <alignment vertical="center"/>
    </xf>
    <xf numFmtId="9" fontId="0" fillId="0" borderId="0" xfId="2" applyFont="1" applyFill="1" applyBorder="1">
      <alignment vertical="center"/>
    </xf>
    <xf numFmtId="181" fontId="0" fillId="4" borderId="32" xfId="0" applyNumberFormat="1" applyFill="1" applyBorder="1">
      <alignment vertical="center"/>
    </xf>
    <xf numFmtId="10" fontId="0" fillId="4" borderId="32" xfId="0" applyNumberFormat="1" applyFill="1" applyBorder="1">
      <alignment vertical="center"/>
    </xf>
    <xf numFmtId="10" fontId="0" fillId="4" borderId="0" xfId="0" applyNumberFormat="1" applyFill="1" applyBorder="1">
      <alignment vertical="center"/>
    </xf>
    <xf numFmtId="181" fontId="0" fillId="0" borderId="7" xfId="0" applyNumberFormat="1" applyFill="1" applyBorder="1">
      <alignment vertical="center"/>
    </xf>
    <xf numFmtId="181" fontId="0" fillId="0" borderId="22" xfId="0" applyNumberFormat="1" applyBorder="1">
      <alignment vertical="center"/>
    </xf>
    <xf numFmtId="10" fontId="0" fillId="0" borderId="22" xfId="0" applyNumberFormat="1" applyBorder="1">
      <alignment vertical="center"/>
    </xf>
    <xf numFmtId="10" fontId="0" fillId="0" borderId="7" xfId="0" applyNumberFormat="1" applyBorder="1">
      <alignment vertical="center"/>
    </xf>
    <xf numFmtId="183" fontId="0" fillId="0" borderId="0" xfId="0" applyNumberFormat="1">
      <alignment vertical="center"/>
    </xf>
    <xf numFmtId="183" fontId="0" fillId="0" borderId="0" xfId="0" applyNumberFormat="1" applyFill="1">
      <alignment vertical="center"/>
    </xf>
    <xf numFmtId="0" fontId="0" fillId="0" borderId="0" xfId="0" applyNumberFormat="1" applyFill="1" applyBorder="1">
      <alignment vertical="center"/>
    </xf>
    <xf numFmtId="9" fontId="0" fillId="5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9" fontId="0" fillId="4" borderId="0" xfId="2" applyFont="1" applyFill="1" applyBorder="1">
      <alignment vertical="center"/>
    </xf>
    <xf numFmtId="183" fontId="0" fillId="0" borderId="0" xfId="0" applyNumberFormat="1" applyBorder="1">
      <alignment vertical="center"/>
    </xf>
    <xf numFmtId="183" fontId="0" fillId="0" borderId="0" xfId="0" applyNumberFormat="1" applyFill="1" applyBorder="1">
      <alignment vertical="center"/>
    </xf>
    <xf numFmtId="9" fontId="0" fillId="0" borderId="7" xfId="2" applyFont="1" applyBorder="1">
      <alignment vertical="center"/>
    </xf>
    <xf numFmtId="0" fontId="73" fillId="0" borderId="0" xfId="0" applyNumberFormat="1" applyFont="1" applyFill="1" applyBorder="1">
      <alignment vertical="center"/>
    </xf>
    <xf numFmtId="177" fontId="0" fillId="0" borderId="0" xfId="0" applyNumberFormat="1" applyBorder="1">
      <alignment vertical="center"/>
    </xf>
    <xf numFmtId="0" fontId="73" fillId="0" borderId="0" xfId="0" applyNumberFormat="1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184" fontId="0" fillId="0" borderId="0" xfId="2" applyNumberFormat="1" applyFont="1" applyBorder="1">
      <alignment vertical="center"/>
    </xf>
    <xf numFmtId="0" fontId="0" fillId="0" borderId="32" xfId="0" applyNumberFormat="1" applyBorder="1">
      <alignment vertical="center"/>
    </xf>
    <xf numFmtId="0" fontId="73" fillId="0" borderId="33" xfId="0" applyNumberFormat="1" applyFont="1" applyFill="1" applyBorder="1">
      <alignment vertical="center"/>
    </xf>
    <xf numFmtId="0" fontId="0" fillId="0" borderId="34" xfId="0" applyFill="1" applyBorder="1">
      <alignment vertical="center"/>
    </xf>
    <xf numFmtId="0" fontId="0" fillId="0" borderId="32" xfId="0" applyBorder="1">
      <alignment vertical="center"/>
    </xf>
    <xf numFmtId="184" fontId="0" fillId="0" borderId="33" xfId="2" applyNumberFormat="1" applyFont="1" applyBorder="1">
      <alignment vertical="center"/>
    </xf>
    <xf numFmtId="184" fontId="0" fillId="0" borderId="34" xfId="2" applyNumberFormat="1" applyFont="1" applyBorder="1">
      <alignment vertical="center"/>
    </xf>
    <xf numFmtId="177" fontId="0" fillId="5" borderId="33" xfId="0" applyNumberFormat="1" applyFill="1" applyBorder="1">
      <alignment vertical="center"/>
    </xf>
    <xf numFmtId="9" fontId="0" fillId="4" borderId="0" xfId="0" applyNumberFormat="1" applyFill="1" applyBorder="1">
      <alignment vertical="center"/>
    </xf>
    <xf numFmtId="177" fontId="0" fillId="4" borderId="33" xfId="0" applyNumberFormat="1" applyFill="1" applyBorder="1">
      <alignment vertical="center"/>
    </xf>
    <xf numFmtId="0" fontId="75" fillId="0" borderId="0" xfId="0" applyFont="1" applyBorder="1" applyAlignment="1">
      <alignment horizontal="center" vertical="center"/>
    </xf>
    <xf numFmtId="0" fontId="73" fillId="0" borderId="30" xfId="0" applyFont="1" applyFill="1" applyBorder="1" applyAlignment="1">
      <alignment horizontal="center" vertical="center" shrinkToFit="1"/>
    </xf>
    <xf numFmtId="0" fontId="91" fillId="0" borderId="0" xfId="0" applyFont="1" applyAlignment="1">
      <alignment horizontal="left"/>
    </xf>
    <xf numFmtId="0" fontId="91" fillId="0" borderId="0" xfId="0" applyFont="1" applyAlignment="1">
      <alignment horizontal="center"/>
    </xf>
    <xf numFmtId="0" fontId="2" fillId="0" borderId="0" xfId="13">
      <alignment vertical="center"/>
    </xf>
    <xf numFmtId="0" fontId="2" fillId="0" borderId="0" xfId="13" quotePrefix="1">
      <alignment vertical="center"/>
    </xf>
    <xf numFmtId="177" fontId="2" fillId="0" borderId="0" xfId="13" applyNumberFormat="1">
      <alignment vertical="center"/>
    </xf>
    <xf numFmtId="0" fontId="2" fillId="0" borderId="0" xfId="13" applyAlignment="1">
      <alignment horizontal="center" vertical="center"/>
    </xf>
    <xf numFmtId="9" fontId="2" fillId="0" borderId="0" xfId="14" applyFont="1">
      <alignment vertical="center"/>
    </xf>
    <xf numFmtId="177" fontId="54" fillId="0" borderId="0" xfId="0" applyNumberFormat="1" applyFont="1" applyFill="1" applyBorder="1" applyAlignment="1"/>
    <xf numFmtId="177" fontId="54" fillId="0" borderId="7" xfId="0" applyNumberFormat="1" applyFont="1" applyFill="1" applyBorder="1" applyAlignment="1"/>
    <xf numFmtId="0" fontId="0" fillId="0" borderId="29" xfId="0" applyBorder="1" applyAlignment="1">
      <alignment horizontal="center" vertical="center"/>
    </xf>
    <xf numFmtId="0" fontId="1" fillId="0" borderId="29" xfId="15" applyBorder="1">
      <alignment vertical="center"/>
    </xf>
    <xf numFmtId="0" fontId="1" fillId="0" borderId="29" xfId="15" quotePrefix="1" applyBorder="1">
      <alignment vertical="center"/>
    </xf>
    <xf numFmtId="0" fontId="1" fillId="0" borderId="29" xfId="15" applyFill="1" applyBorder="1">
      <alignment vertical="center"/>
    </xf>
    <xf numFmtId="177" fontId="1" fillId="0" borderId="29" xfId="15" applyNumberFormat="1" applyBorder="1">
      <alignment vertical="center"/>
    </xf>
    <xf numFmtId="9" fontId="0" fillId="0" borderId="29" xfId="2" applyFont="1" applyBorder="1">
      <alignment vertical="center"/>
    </xf>
    <xf numFmtId="0" fontId="0" fillId="0" borderId="29" xfId="0" applyBorder="1">
      <alignment vertical="center"/>
    </xf>
    <xf numFmtId="0" fontId="0" fillId="0" borderId="29" xfId="0" applyBorder="1" applyAlignment="1">
      <alignment vertical="center"/>
    </xf>
    <xf numFmtId="183" fontId="0" fillId="0" borderId="29" xfId="0" applyNumberFormat="1" applyBorder="1">
      <alignment vertical="center"/>
    </xf>
    <xf numFmtId="9" fontId="40" fillId="0" borderId="0" xfId="2" applyFont="1" applyFill="1" applyBorder="1">
      <alignment vertical="center"/>
    </xf>
    <xf numFmtId="0" fontId="40" fillId="0" borderId="35" xfId="0" applyFont="1" applyBorder="1" applyAlignment="1">
      <alignment horizontal="center" vertical="center"/>
    </xf>
    <xf numFmtId="177" fontId="93" fillId="0" borderId="0" xfId="0" applyNumberFormat="1" applyFont="1" applyAlignment="1">
      <alignment horizontal="center" vertical="center" shrinkToFit="1"/>
    </xf>
    <xf numFmtId="0" fontId="79" fillId="0" borderId="29" xfId="0" applyFont="1" applyBorder="1" applyAlignment="1">
      <alignment horizontal="center" vertical="center"/>
    </xf>
    <xf numFmtId="0" fontId="79" fillId="0" borderId="29" xfId="0" applyFont="1" applyBorder="1">
      <alignment vertical="center"/>
    </xf>
    <xf numFmtId="43" fontId="94" fillId="6" borderId="29" xfId="1" applyFont="1" applyFill="1" applyBorder="1" applyAlignment="1">
      <alignment horizontal="right" vertical="center"/>
    </xf>
    <xf numFmtId="9" fontId="79" fillId="0" borderId="29" xfId="2" applyFont="1" applyBorder="1">
      <alignment vertical="center"/>
    </xf>
    <xf numFmtId="4" fontId="95" fillId="3" borderId="29" xfId="0" applyNumberFormat="1" applyFont="1" applyFill="1" applyBorder="1" applyAlignment="1">
      <alignment horizontal="right" vertical="center" wrapText="1"/>
    </xf>
    <xf numFmtId="177" fontId="79" fillId="0" borderId="29" xfId="0" applyNumberFormat="1" applyFont="1" applyBorder="1">
      <alignment vertical="center"/>
    </xf>
    <xf numFmtId="43" fontId="79" fillId="0" borderId="29" xfId="0" applyNumberFormat="1" applyFont="1" applyBorder="1">
      <alignment vertical="center"/>
    </xf>
    <xf numFmtId="0" fontId="96" fillId="0" borderId="29" xfId="0" applyFont="1" applyBorder="1" applyAlignment="1">
      <alignment vertical="center" wrapText="1"/>
    </xf>
    <xf numFmtId="177" fontId="96" fillId="0" borderId="29" xfId="0" applyNumberFormat="1" applyFont="1" applyBorder="1" applyAlignment="1">
      <alignment vertical="center" wrapText="1"/>
    </xf>
    <xf numFmtId="9" fontId="96" fillId="0" borderId="29" xfId="0" applyNumberFormat="1" applyFont="1" applyBorder="1" applyAlignment="1">
      <alignment vertical="center" wrapText="1"/>
    </xf>
    <xf numFmtId="184" fontId="79" fillId="0" borderId="29" xfId="0" applyNumberFormat="1" applyFont="1" applyBorder="1">
      <alignment vertical="center"/>
    </xf>
    <xf numFmtId="184" fontId="96" fillId="0" borderId="29" xfId="0" applyNumberFormat="1" applyFont="1" applyBorder="1" applyAlignment="1">
      <alignment vertical="center" wrapText="1"/>
    </xf>
    <xf numFmtId="0" fontId="95" fillId="0" borderId="29" xfId="0" applyFont="1" applyBorder="1" applyAlignment="1">
      <alignment horizontal="center" vertical="center" wrapText="1"/>
    </xf>
    <xf numFmtId="3" fontId="95" fillId="0" borderId="29" xfId="0" applyNumberFormat="1" applyFont="1" applyBorder="1" applyAlignment="1">
      <alignment horizontal="center" vertical="center" wrapText="1"/>
    </xf>
    <xf numFmtId="43" fontId="97" fillId="0" borderId="29" xfId="0" applyNumberFormat="1" applyFont="1" applyBorder="1" applyAlignment="1">
      <alignment horizontal="center" vertical="center" wrapText="1"/>
    </xf>
    <xf numFmtId="9" fontId="95" fillId="7" borderId="29" xfId="2" applyFont="1" applyFill="1" applyBorder="1" applyAlignment="1">
      <alignment horizontal="center" vertical="center" wrapText="1"/>
    </xf>
    <xf numFmtId="3" fontId="95" fillId="7" borderId="29" xfId="0" applyNumberFormat="1" applyFont="1" applyFill="1" applyBorder="1" applyAlignment="1">
      <alignment horizontal="center" vertical="center" wrapText="1"/>
    </xf>
    <xf numFmtId="9" fontId="79" fillId="0" borderId="29" xfId="0" applyNumberFormat="1" applyFont="1" applyBorder="1" applyAlignment="1">
      <alignment horizontal="center" vertical="center"/>
    </xf>
    <xf numFmtId="0" fontId="97" fillId="0" borderId="29" xfId="0" applyFont="1" applyBorder="1" applyAlignment="1">
      <alignment horizontal="center" vertical="center" wrapText="1"/>
    </xf>
    <xf numFmtId="9" fontId="95" fillId="0" borderId="29" xfId="2" applyFont="1" applyBorder="1" applyAlignment="1">
      <alignment horizontal="center" vertical="center" wrapText="1"/>
    </xf>
    <xf numFmtId="9" fontId="95" fillId="7" borderId="29" xfId="0" applyNumberFormat="1" applyFont="1" applyFill="1" applyBorder="1" applyAlignment="1">
      <alignment horizontal="center" vertical="center" wrapText="1"/>
    </xf>
    <xf numFmtId="9" fontId="95" fillId="0" borderId="29" xfId="0" applyNumberFormat="1" applyFont="1" applyBorder="1" applyAlignment="1">
      <alignment horizontal="center" vertical="center" wrapText="1"/>
    </xf>
    <xf numFmtId="9" fontId="79" fillId="0" borderId="29" xfId="0" applyNumberFormat="1" applyFont="1" applyBorder="1">
      <alignment vertical="center"/>
    </xf>
    <xf numFmtId="10" fontId="96" fillId="0" borderId="29" xfId="0" applyNumberFormat="1" applyFont="1" applyBorder="1" applyAlignment="1">
      <alignment vertical="center" wrapText="1"/>
    </xf>
    <xf numFmtId="10" fontId="96" fillId="0" borderId="29" xfId="2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61" fillId="0" borderId="0" xfId="0" applyFont="1" applyAlignment="1">
      <alignment horizontal="center"/>
    </xf>
    <xf numFmtId="0" fontId="62" fillId="0" borderId="0" xfId="0" applyFont="1" applyAlignment="1">
      <alignment horizontal="center"/>
    </xf>
    <xf numFmtId="0" fontId="63" fillId="0" borderId="19" xfId="0" applyFont="1" applyBorder="1" applyAlignment="1">
      <alignment horizontal="center" vertical="center"/>
    </xf>
    <xf numFmtId="0" fontId="64" fillId="0" borderId="0" xfId="0" applyFont="1" applyBorder="1" applyAlignment="1">
      <alignment horizontal="center" vertical="center"/>
    </xf>
    <xf numFmtId="0" fontId="56" fillId="0" borderId="0" xfId="0" applyFont="1" applyAlignment="1">
      <alignment horizontal="left"/>
    </xf>
    <xf numFmtId="0" fontId="57" fillId="0" borderId="0" xfId="0" applyFont="1" applyAlignment="1">
      <alignment horizontal="left"/>
    </xf>
    <xf numFmtId="0" fontId="91" fillId="0" borderId="0" xfId="0" applyFont="1" applyAlignment="1">
      <alignment horizontal="left"/>
    </xf>
    <xf numFmtId="0" fontId="92" fillId="0" borderId="0" xfId="0" applyFont="1" applyAlignment="1">
      <alignment horizontal="left"/>
    </xf>
    <xf numFmtId="0" fontId="90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71" fillId="0" borderId="0" xfId="0" applyFont="1" applyAlignment="1">
      <alignment horizontal="left"/>
    </xf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1" fillId="0" borderId="7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44" fillId="0" borderId="14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82" fillId="0" borderId="0" xfId="0" applyFont="1" applyAlignment="1">
      <alignment horizontal="left" wrapText="1"/>
    </xf>
    <xf numFmtId="0" fontId="49" fillId="0" borderId="0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0" fontId="42" fillId="0" borderId="18" xfId="0" applyFont="1" applyFill="1" applyBorder="1" applyAlignment="1">
      <alignment horizontal="center" vertical="center"/>
    </xf>
    <xf numFmtId="0" fontId="42" fillId="0" borderId="10" xfId="0" applyFont="1" applyFill="1" applyBorder="1" applyAlignment="1">
      <alignment horizontal="center" vertical="center"/>
    </xf>
    <xf numFmtId="0" fontId="82" fillId="0" borderId="0" xfId="0" applyFont="1" applyAlignment="1">
      <alignment horizontal="left"/>
    </xf>
    <xf numFmtId="0" fontId="79" fillId="0" borderId="36" xfId="0" applyFont="1" applyBorder="1" applyAlignment="1">
      <alignment horizontal="center" vertical="center"/>
    </xf>
    <xf numFmtId="0" fontId="79" fillId="0" borderId="12" xfId="0" applyFont="1" applyBorder="1" applyAlignment="1">
      <alignment horizontal="center" vertical="center"/>
    </xf>
    <xf numFmtId="0" fontId="79" fillId="0" borderId="11" xfId="0" applyFont="1" applyBorder="1" applyAlignment="1">
      <alignment horizontal="center" vertical="center"/>
    </xf>
    <xf numFmtId="0" fontId="79" fillId="0" borderId="29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7" xfId="0" applyFont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9" fillId="0" borderId="0" xfId="0" applyFont="1" applyAlignment="1">
      <alignment horizontal="left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179" fontId="85" fillId="0" borderId="18" xfId="2" applyNumberFormat="1" applyFont="1" applyBorder="1" applyAlignment="1">
      <alignment horizontal="center" vertical="center" wrapText="1"/>
    </xf>
    <xf numFmtId="179" fontId="85" fillId="0" borderId="10" xfId="2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21" fillId="0" borderId="18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9" fillId="0" borderId="18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43" fontId="20" fillId="0" borderId="16" xfId="0" applyNumberFormat="1" applyFont="1" applyBorder="1" applyAlignment="1">
      <alignment horizontal="center"/>
    </xf>
    <xf numFmtId="43" fontId="14" fillId="0" borderId="16" xfId="0" applyNumberFormat="1" applyFont="1" applyBorder="1" applyAlignment="1">
      <alignment horizontal="center"/>
    </xf>
    <xf numFmtId="176" fontId="14" fillId="0" borderId="12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43" fontId="20" fillId="0" borderId="20" xfId="0" applyNumberFormat="1" applyFont="1" applyBorder="1" applyAlignment="1">
      <alignment horizontal="right" vertical="center"/>
    </xf>
    <xf numFmtId="43" fontId="20" fillId="0" borderId="0" xfId="0" applyNumberFormat="1" applyFont="1" applyAlignment="1">
      <alignment horizontal="right" vertical="center"/>
    </xf>
    <xf numFmtId="179" fontId="13" fillId="0" borderId="18" xfId="0" applyNumberFormat="1" applyFont="1" applyBorder="1" applyAlignment="1">
      <alignment horizontal="center" vertical="center" wrapText="1"/>
    </xf>
    <xf numFmtId="179" fontId="13" fillId="0" borderId="10" xfId="0" applyNumberFormat="1" applyFont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13" fillId="0" borderId="9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7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0" fillId="0" borderId="3" xfId="0" applyFont="1" applyBorder="1" applyAlignment="1">
      <alignment horizontal="center" vertical="center"/>
    </xf>
    <xf numFmtId="0" fontId="79" fillId="0" borderId="4" xfId="0" applyFont="1" applyBorder="1" applyAlignment="1">
      <alignment horizontal="center" vertical="center"/>
    </xf>
    <xf numFmtId="0" fontId="79" fillId="0" borderId="3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 wrapText="1"/>
    </xf>
    <xf numFmtId="0" fontId="73" fillId="0" borderId="4" xfId="0" applyFont="1" applyBorder="1" applyAlignment="1">
      <alignment horizontal="center" vertical="center" wrapText="1"/>
    </xf>
    <xf numFmtId="0" fontId="73" fillId="0" borderId="5" xfId="0" applyFont="1" applyBorder="1" applyAlignment="1">
      <alignment horizontal="center" vertical="center" wrapText="1"/>
    </xf>
    <xf numFmtId="0" fontId="73" fillId="0" borderId="6" xfId="0" applyFont="1" applyBorder="1" applyAlignment="1">
      <alignment horizontal="center" vertical="center" wrapText="1"/>
    </xf>
    <xf numFmtId="0" fontId="81" fillId="0" borderId="3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79" fillId="0" borderId="1" xfId="0" applyFont="1" applyBorder="1" applyAlignment="1">
      <alignment horizontal="center" vertical="center"/>
    </xf>
    <xf numFmtId="0" fontId="79" fillId="0" borderId="2" xfId="0" applyFont="1" applyBorder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9" fontId="79" fillId="0" borderId="5" xfId="0" applyNumberFormat="1" applyFont="1" applyBorder="1" applyAlignment="1">
      <alignment horizontal="center" vertical="center"/>
    </xf>
    <xf numFmtId="0" fontId="79" fillId="0" borderId="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5" fillId="0" borderId="33" xfId="0" applyFont="1" applyBorder="1" applyAlignment="1">
      <alignment horizontal="center" vertical="center"/>
    </xf>
    <xf numFmtId="10" fontId="75" fillId="0" borderId="21" xfId="0" applyNumberFormat="1" applyFont="1" applyBorder="1" applyAlignment="1">
      <alignment horizontal="center" vertical="center"/>
    </xf>
    <xf numFmtId="10" fontId="75" fillId="0" borderId="19" xfId="0" applyNumberFormat="1" applyFont="1" applyBorder="1" applyAlignment="1">
      <alignment horizontal="center" vertical="center"/>
    </xf>
    <xf numFmtId="10" fontId="75" fillId="0" borderId="31" xfId="0" applyNumberFormat="1" applyFont="1" applyBorder="1" applyAlignment="1">
      <alignment horizontal="center" vertical="center"/>
    </xf>
    <xf numFmtId="0" fontId="75" fillId="0" borderId="21" xfId="0" applyFont="1" applyBorder="1" applyAlignment="1">
      <alignment horizontal="center" vertical="center"/>
    </xf>
    <xf numFmtId="0" fontId="75" fillId="0" borderId="19" xfId="0" applyFont="1" applyBorder="1" applyAlignment="1">
      <alignment horizontal="center" vertical="center"/>
    </xf>
    <xf numFmtId="0" fontId="75" fillId="0" borderId="31" xfId="0" applyFont="1" applyBorder="1" applyAlignment="1">
      <alignment horizontal="center" vertical="center"/>
    </xf>
    <xf numFmtId="183" fontId="75" fillId="0" borderId="21" xfId="0" applyNumberFormat="1" applyFont="1" applyBorder="1" applyAlignment="1">
      <alignment horizontal="center" vertical="center"/>
    </xf>
    <xf numFmtId="183" fontId="75" fillId="0" borderId="19" xfId="0" applyNumberFormat="1" applyFont="1" applyBorder="1" applyAlignment="1">
      <alignment horizontal="center" vertical="center"/>
    </xf>
    <xf numFmtId="183" fontId="75" fillId="0" borderId="31" xfId="0" applyNumberFormat="1" applyFont="1" applyBorder="1" applyAlignment="1">
      <alignment horizontal="center" vertical="center"/>
    </xf>
    <xf numFmtId="0" fontId="79" fillId="0" borderId="0" xfId="0" applyFont="1" applyAlignment="1">
      <alignment horizontal="left" vertical="center"/>
    </xf>
    <xf numFmtId="0" fontId="79" fillId="0" borderId="0" xfId="0" applyFont="1" applyAlignment="1">
      <alignment horizontal="left" vertical="center" wrapText="1"/>
    </xf>
  </cellXfs>
  <cellStyles count="16">
    <cellStyle name="百分比" xfId="2" builtinId="5"/>
    <cellStyle name="百分比 2" xfId="14"/>
    <cellStyle name="常规" xfId="0" builtinId="0"/>
    <cellStyle name="常规 10" xfId="13"/>
    <cellStyle name="常规 11" xfId="15"/>
    <cellStyle name="常规 13" xfId="6"/>
    <cellStyle name="常规 14" xfId="7"/>
    <cellStyle name="常规 2" xfId="8"/>
    <cellStyle name="常规 3" xfId="9"/>
    <cellStyle name="常规 4" xfId="10"/>
    <cellStyle name="常规 5" xfId="11"/>
    <cellStyle name="常规 6" xfId="3"/>
    <cellStyle name="常规 7" xfId="12"/>
    <cellStyle name="常规 8" xfId="4"/>
    <cellStyle name="常规 9" xfId="5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计划与实际图表!$C$2</c:f>
              <c:strCache>
                <c:ptCount val="1"/>
                <c:pt idx="0">
                  <c:v>计划</c:v>
                </c:pt>
              </c:strCache>
            </c:strRef>
          </c:tx>
          <c:dLbls>
            <c:showVal val="1"/>
          </c:dLbls>
          <c:cat>
            <c:strRef>
              <c:f>计划与实际图表!$B$3:$B$7</c:f>
              <c:strCache>
                <c:ptCount val="5"/>
                <c:pt idx="0">
                  <c:v>开发部</c:v>
                </c:pt>
                <c:pt idx="1">
                  <c:v>生产部</c:v>
                </c:pt>
                <c:pt idx="2">
                  <c:v>销售部</c:v>
                </c:pt>
                <c:pt idx="3">
                  <c:v>企划部</c:v>
                </c:pt>
                <c:pt idx="4">
                  <c:v>总部</c:v>
                </c:pt>
              </c:strCache>
            </c:strRef>
          </c:cat>
          <c:val>
            <c:numRef>
              <c:f>计划与实际图表!$C$3:$C$7</c:f>
              <c:numCache>
                <c:formatCode>General</c:formatCode>
                <c:ptCount val="5"/>
                <c:pt idx="0">
                  <c:v>222</c:v>
                </c:pt>
                <c:pt idx="1">
                  <c:v>2542</c:v>
                </c:pt>
                <c:pt idx="2">
                  <c:v>1111</c:v>
                </c:pt>
                <c:pt idx="3">
                  <c:v>475</c:v>
                </c:pt>
                <c:pt idx="4">
                  <c:v>687</c:v>
                </c:pt>
              </c:numCache>
            </c:numRef>
          </c:val>
        </c:ser>
        <c:ser>
          <c:idx val="1"/>
          <c:order val="1"/>
          <c:tx>
            <c:strRef>
              <c:f>计划与实际图表!$D$2</c:f>
              <c:strCache>
                <c:ptCount val="1"/>
                <c:pt idx="0">
                  <c:v>实际</c:v>
                </c:pt>
              </c:strCache>
            </c:strRef>
          </c:tx>
          <c:dLbls>
            <c:showVal val="1"/>
          </c:dLbls>
          <c:cat>
            <c:strRef>
              <c:f>计划与实际图表!$B$3:$B$7</c:f>
              <c:strCache>
                <c:ptCount val="5"/>
                <c:pt idx="0">
                  <c:v>开发部</c:v>
                </c:pt>
                <c:pt idx="1">
                  <c:v>生产部</c:v>
                </c:pt>
                <c:pt idx="2">
                  <c:v>销售部</c:v>
                </c:pt>
                <c:pt idx="3">
                  <c:v>企划部</c:v>
                </c:pt>
                <c:pt idx="4">
                  <c:v>总部</c:v>
                </c:pt>
              </c:strCache>
            </c:strRef>
          </c:cat>
          <c:val>
            <c:numRef>
              <c:f>计划与实际图表!$D$3:$D$7</c:f>
              <c:numCache>
                <c:formatCode>General</c:formatCode>
                <c:ptCount val="5"/>
                <c:pt idx="0">
                  <c:v>159</c:v>
                </c:pt>
                <c:pt idx="1">
                  <c:v>2853</c:v>
                </c:pt>
                <c:pt idx="2">
                  <c:v>1775</c:v>
                </c:pt>
                <c:pt idx="3">
                  <c:v>607</c:v>
                </c:pt>
                <c:pt idx="4">
                  <c:v>889</c:v>
                </c:pt>
              </c:numCache>
            </c:numRef>
          </c:val>
        </c:ser>
        <c:axId val="79864960"/>
        <c:axId val="79866496"/>
      </c:barChart>
      <c:catAx>
        <c:axId val="79864960"/>
        <c:scaling>
          <c:orientation val="minMax"/>
        </c:scaling>
        <c:axPos val="b"/>
        <c:tickLblPos val="nextTo"/>
        <c:crossAx val="79866496"/>
        <c:crosses val="autoZero"/>
        <c:auto val="1"/>
        <c:lblAlgn val="ctr"/>
        <c:lblOffset val="100"/>
      </c:catAx>
      <c:valAx>
        <c:axId val="79866496"/>
        <c:scaling>
          <c:orientation val="minMax"/>
        </c:scaling>
        <c:axPos val="l"/>
        <c:majorGridlines/>
        <c:numFmt formatCode="General" sourceLinked="1"/>
        <c:tickLblPos val="nextTo"/>
        <c:crossAx val="79864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266701</xdr:colOff>
      <xdr:row>0</xdr:row>
      <xdr:rowOff>0</xdr:rowOff>
    </xdr:from>
    <xdr:to>
      <xdr:col>13</xdr:col>
      <xdr:colOff>457201</xdr:colOff>
      <xdr:row>0</xdr:row>
      <xdr:rowOff>411716</xdr:rowOff>
    </xdr:to>
    <xdr:pic>
      <xdr:nvPicPr>
        <xdr:cNvPr id="2" name="Picture 1027" descr="XM标志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0"/>
          <a:ext cx="1562100" cy="411480"/>
        </a:xfrm>
        <a:prstGeom prst="rect">
          <a:avLst/>
        </a:prstGeom>
        <a:solidFill>
          <a:schemeClr val="accent2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6</xdr:row>
      <xdr:rowOff>76199</xdr:rowOff>
    </xdr:from>
    <xdr:to>
      <xdr:col>6</xdr:col>
      <xdr:colOff>742950</xdr:colOff>
      <xdr:row>8</xdr:row>
      <xdr:rowOff>161925</xdr:rowOff>
    </xdr:to>
    <xdr:cxnSp macro="">
      <xdr:nvCxnSpPr>
        <xdr:cNvPr id="3" name="直接箭头连接符 2"/>
        <xdr:cNvCxnSpPr/>
      </xdr:nvCxnSpPr>
      <xdr:spPr>
        <a:xfrm flipH="1">
          <a:off x="4857750" y="1219199"/>
          <a:ext cx="1352550" cy="4286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923925</xdr:colOff>
      <xdr:row>6</xdr:row>
      <xdr:rowOff>85725</xdr:rowOff>
    </xdr:from>
    <xdr:to>
      <xdr:col>7</xdr:col>
      <xdr:colOff>409575</xdr:colOff>
      <xdr:row>8</xdr:row>
      <xdr:rowOff>142875</xdr:rowOff>
    </xdr:to>
    <xdr:cxnSp macro="">
      <xdr:nvCxnSpPr>
        <xdr:cNvPr id="5" name="直接箭头连接符 4"/>
        <xdr:cNvCxnSpPr/>
      </xdr:nvCxnSpPr>
      <xdr:spPr>
        <a:xfrm>
          <a:off x="6391275" y="1228725"/>
          <a:ext cx="1343025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26</xdr:row>
      <xdr:rowOff>76201</xdr:rowOff>
    </xdr:from>
    <xdr:to>
      <xdr:col>8</xdr:col>
      <xdr:colOff>171451</xdr:colOff>
      <xdr:row>29</xdr:row>
      <xdr:rowOff>85726</xdr:rowOff>
    </xdr:to>
    <xdr:cxnSp macro="">
      <xdr:nvCxnSpPr>
        <xdr:cNvPr id="9" name="直接箭头连接符 8"/>
        <xdr:cNvCxnSpPr/>
      </xdr:nvCxnSpPr>
      <xdr:spPr>
        <a:xfrm rot="5400000" flipH="1" flipV="1">
          <a:off x="8843963" y="4852988"/>
          <a:ext cx="5238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808832</xdr:colOff>
      <xdr:row>23</xdr:row>
      <xdr:rowOff>19844</xdr:rowOff>
    </xdr:from>
    <xdr:to>
      <xdr:col>4</xdr:col>
      <xdr:colOff>810420</xdr:colOff>
      <xdr:row>24</xdr:row>
      <xdr:rowOff>10319</xdr:rowOff>
    </xdr:to>
    <xdr:cxnSp macro="">
      <xdr:nvCxnSpPr>
        <xdr:cNvPr id="13" name="直接箭头连接符 12"/>
        <xdr:cNvCxnSpPr/>
      </xdr:nvCxnSpPr>
      <xdr:spPr>
        <a:xfrm rot="5400000" flipH="1" flipV="1">
          <a:off x="3804920" y="3642995"/>
          <a:ext cx="161925" cy="1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752475</xdr:colOff>
      <xdr:row>23</xdr:row>
      <xdr:rowOff>0</xdr:rowOff>
    </xdr:from>
    <xdr:to>
      <xdr:col>7</xdr:col>
      <xdr:colOff>752475</xdr:colOff>
      <xdr:row>24</xdr:row>
      <xdr:rowOff>0</xdr:rowOff>
    </xdr:to>
    <xdr:cxnSp macro="">
      <xdr:nvCxnSpPr>
        <xdr:cNvPr id="14" name="直接箭头连接符 13"/>
        <xdr:cNvCxnSpPr/>
      </xdr:nvCxnSpPr>
      <xdr:spPr>
        <a:xfrm flipV="1">
          <a:off x="8077200" y="3714750"/>
          <a:ext cx="0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1095375</xdr:colOff>
      <xdr:row>20</xdr:row>
      <xdr:rowOff>0</xdr:rowOff>
    </xdr:from>
    <xdr:to>
      <xdr:col>6</xdr:col>
      <xdr:colOff>723900</xdr:colOff>
      <xdr:row>22</xdr:row>
      <xdr:rowOff>0</xdr:rowOff>
    </xdr:to>
    <xdr:cxnSp macro="">
      <xdr:nvCxnSpPr>
        <xdr:cNvPr id="16" name="直接箭头连接符 15"/>
        <xdr:cNvCxnSpPr/>
      </xdr:nvCxnSpPr>
      <xdr:spPr>
        <a:xfrm flipV="1">
          <a:off x="4171950" y="3200400"/>
          <a:ext cx="201930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923927</xdr:colOff>
      <xdr:row>20</xdr:row>
      <xdr:rowOff>9525</xdr:rowOff>
    </xdr:from>
    <xdr:to>
      <xdr:col>7</xdr:col>
      <xdr:colOff>781050</xdr:colOff>
      <xdr:row>21</xdr:row>
      <xdr:rowOff>152400</xdr:rowOff>
    </xdr:to>
    <xdr:cxnSp macro="">
      <xdr:nvCxnSpPr>
        <xdr:cNvPr id="18" name="直接箭头连接符 17"/>
        <xdr:cNvCxnSpPr/>
      </xdr:nvCxnSpPr>
      <xdr:spPr>
        <a:xfrm flipH="1" flipV="1">
          <a:off x="6391277" y="3209925"/>
          <a:ext cx="1714498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24</xdr:row>
      <xdr:rowOff>152401</xdr:rowOff>
    </xdr:from>
    <xdr:to>
      <xdr:col>5</xdr:col>
      <xdr:colOff>2</xdr:colOff>
      <xdr:row>27</xdr:row>
      <xdr:rowOff>19051</xdr:rowOff>
    </xdr:to>
    <xdr:cxnSp macro="">
      <xdr:nvCxnSpPr>
        <xdr:cNvPr id="24" name="直接箭头连接符 23"/>
        <xdr:cNvCxnSpPr/>
      </xdr:nvCxnSpPr>
      <xdr:spPr>
        <a:xfrm rot="5400000" flipH="1" flipV="1">
          <a:off x="4600577" y="4457700"/>
          <a:ext cx="495300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161924</xdr:rowOff>
    </xdr:from>
    <xdr:to>
      <xdr:col>16</xdr:col>
      <xdr:colOff>476250</xdr:colOff>
      <xdr:row>19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G24" sqref="G24"/>
    </sheetView>
  </sheetViews>
  <sheetFormatPr defaultColWidth="9" defaultRowHeight="13.5"/>
  <sheetData>
    <row r="1" spans="1:14" ht="33" customHeight="1">
      <c r="A1" s="357"/>
      <c r="B1" s="357"/>
      <c r="C1" s="357"/>
    </row>
    <row r="2" spans="1:14" s="193" customFormat="1" ht="44.25" customHeight="1">
      <c r="A2" s="358" t="s">
        <v>0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</row>
    <row r="3" spans="1:14" s="193" customFormat="1" ht="44.25" customHeight="1">
      <c r="A3" s="359" t="s">
        <v>1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</row>
    <row r="4" spans="1:14" s="194" customFormat="1" ht="44.25">
      <c r="A4" s="197"/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</row>
    <row r="5" spans="1:14" s="194" customFormat="1" ht="75.75" customHeight="1">
      <c r="A5" s="360" t="s">
        <v>2</v>
      </c>
      <c r="B5" s="360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</row>
    <row r="6" spans="1:14" s="195" customFormat="1" ht="75.75" customHeight="1">
      <c r="A6" s="361">
        <v>2017</v>
      </c>
      <c r="B6" s="361"/>
      <c r="C6" s="361"/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</row>
    <row r="7" spans="1:14" s="193" customFormat="1" ht="25.5">
      <c r="A7" s="198"/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</row>
    <row r="8" spans="1:14" s="193" customFormat="1"/>
    <row r="9" spans="1:14" s="193" customFormat="1"/>
    <row r="10" spans="1:14" s="193" customFormat="1"/>
    <row r="11" spans="1:14" s="193" customFormat="1"/>
    <row r="12" spans="1:14" s="193" customFormat="1">
      <c r="A12" s="202" t="s">
        <v>3</v>
      </c>
      <c r="B12" s="199"/>
      <c r="C12" s="199"/>
      <c r="D12" s="199"/>
      <c r="E12" s="199"/>
      <c r="F12" s="199"/>
      <c r="H12" s="202" t="s">
        <v>3</v>
      </c>
      <c r="I12" s="199"/>
      <c r="J12" s="199"/>
      <c r="K12" s="199"/>
      <c r="L12" s="199"/>
      <c r="M12" s="199"/>
    </row>
    <row r="13" spans="1:14" s="196" customFormat="1" ht="14.25">
      <c r="A13" s="200" t="s">
        <v>4</v>
      </c>
      <c r="B13" s="200"/>
      <c r="C13" s="200"/>
      <c r="D13" s="200"/>
      <c r="E13" s="200"/>
      <c r="F13" s="200"/>
      <c r="G13" s="193"/>
      <c r="H13" s="200" t="s">
        <v>5</v>
      </c>
      <c r="I13" s="200"/>
      <c r="J13" s="200"/>
      <c r="K13" s="200"/>
      <c r="L13" s="200"/>
      <c r="M13" s="200"/>
    </row>
    <row r="14" spans="1:14" s="196" customFormat="1" ht="14.25">
      <c r="A14" s="201" t="s">
        <v>6</v>
      </c>
      <c r="B14" s="200"/>
      <c r="C14" s="200"/>
      <c r="D14" s="200"/>
      <c r="E14" s="200"/>
      <c r="F14" s="200"/>
      <c r="G14" s="193"/>
      <c r="H14" s="201">
        <v>43125</v>
      </c>
      <c r="I14" s="200"/>
      <c r="J14" s="200"/>
      <c r="K14" s="200"/>
      <c r="L14" s="200"/>
      <c r="M14" s="200"/>
    </row>
  </sheetData>
  <mergeCells count="5">
    <mergeCell ref="A1:C1"/>
    <mergeCell ref="A2:N2"/>
    <mergeCell ref="A3:N3"/>
    <mergeCell ref="A5:N5"/>
    <mergeCell ref="A6:N6"/>
  </mergeCells>
  <phoneticPr fontId="7" type="noConversion"/>
  <pageMargins left="0.69930555555555596" right="0.69930555555555596" top="0.75" bottom="0.75" header="0.3" footer="0.3"/>
  <pageSetup paperSize="9" orientation="portrait" verticalDpi="18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C1:M31"/>
  <sheetViews>
    <sheetView workbookViewId="0">
      <selection activeCell="G34" sqref="G34"/>
    </sheetView>
  </sheetViews>
  <sheetFormatPr defaultColWidth="9" defaultRowHeight="13.5"/>
  <cols>
    <col min="3" max="3" width="13.375" customWidth="1"/>
    <col min="4" max="4" width="9.875" customWidth="1"/>
    <col min="5" max="5" width="22.375" customWidth="1"/>
    <col min="7" max="7" width="24.375" customWidth="1"/>
    <col min="8" max="8" width="20.25" customWidth="1"/>
    <col min="9" max="9" width="13.375" customWidth="1"/>
    <col min="10" max="10" width="22.875" customWidth="1"/>
    <col min="11" max="11" width="21.75" customWidth="1"/>
  </cols>
  <sheetData>
    <row r="1" spans="3:10">
      <c r="F1" s="5"/>
      <c r="G1" s="5"/>
      <c r="H1" s="5"/>
      <c r="I1" s="5"/>
      <c r="J1" s="5"/>
    </row>
    <row r="2" spans="3:10">
      <c r="C2" s="227" t="s">
        <v>289</v>
      </c>
      <c r="F2" s="5"/>
      <c r="G2" s="232"/>
      <c r="H2" s="5"/>
      <c r="I2" s="232"/>
      <c r="J2" s="5"/>
    </row>
    <row r="3" spans="3:10">
      <c r="F3" s="5"/>
      <c r="G3" s="232"/>
      <c r="H3" s="5"/>
      <c r="I3" s="232"/>
      <c r="J3" s="5"/>
    </row>
    <row r="4" spans="3:10">
      <c r="F4" s="5"/>
      <c r="G4" s="4"/>
      <c r="H4" s="5"/>
      <c r="I4" s="4"/>
      <c r="J4" s="5"/>
    </row>
    <row r="5" spans="3:10" ht="22.5">
      <c r="C5" s="1" t="s">
        <v>205</v>
      </c>
      <c r="D5" s="2" t="s">
        <v>206</v>
      </c>
      <c r="E5" s="228" t="s">
        <v>224</v>
      </c>
      <c r="F5" s="3" t="s">
        <v>208</v>
      </c>
      <c r="G5" s="231" t="s">
        <v>227</v>
      </c>
      <c r="H5" s="3"/>
    </row>
    <row r="6" spans="3:10">
      <c r="C6" s="229" t="s">
        <v>225</v>
      </c>
      <c r="D6" s="1"/>
      <c r="E6" s="230" t="s">
        <v>226</v>
      </c>
      <c r="F6" s="1"/>
      <c r="G6" s="229" t="s">
        <v>228</v>
      </c>
      <c r="H6" s="1"/>
      <c r="I6" s="2"/>
      <c r="J6" s="1"/>
    </row>
    <row r="9" spans="3:10">
      <c r="E9" s="227" t="s">
        <v>236</v>
      </c>
      <c r="I9" s="238" t="s">
        <v>237</v>
      </c>
    </row>
    <row r="10" spans="3:10">
      <c r="E10" s="437" t="s">
        <v>235</v>
      </c>
      <c r="F10" s="438"/>
      <c r="H10" s="426" t="s">
        <v>234</v>
      </c>
      <c r="I10" s="427"/>
    </row>
    <row r="11" spans="3:10" ht="13.5" customHeight="1">
      <c r="E11" s="428" t="s">
        <v>238</v>
      </c>
      <c r="F11" s="429"/>
      <c r="H11" s="431" t="s">
        <v>242</v>
      </c>
      <c r="I11" s="432"/>
    </row>
    <row r="12" spans="3:10" ht="13.5" customHeight="1">
      <c r="E12" s="430" t="s">
        <v>230</v>
      </c>
      <c r="F12" s="429"/>
      <c r="H12" s="431"/>
      <c r="I12" s="432"/>
    </row>
    <row r="13" spans="3:10">
      <c r="E13" s="435" t="s">
        <v>229</v>
      </c>
      <c r="F13" s="436"/>
      <c r="H13" s="431"/>
      <c r="I13" s="432"/>
    </row>
    <row r="14" spans="3:10">
      <c r="E14" s="435" t="s">
        <v>231</v>
      </c>
      <c r="F14" s="436"/>
      <c r="H14" s="431"/>
      <c r="I14" s="432"/>
    </row>
    <row r="15" spans="3:10">
      <c r="E15" s="430" t="s">
        <v>240</v>
      </c>
      <c r="F15" s="429"/>
      <c r="H15" s="431"/>
      <c r="I15" s="432"/>
    </row>
    <row r="16" spans="3:10">
      <c r="E16" s="444" t="s">
        <v>241</v>
      </c>
      <c r="F16" s="445"/>
      <c r="H16" s="433"/>
      <c r="I16" s="434"/>
    </row>
    <row r="17" spans="3:13">
      <c r="E17" s="236"/>
      <c r="F17" s="237"/>
      <c r="H17" s="235"/>
      <c r="I17" s="235"/>
    </row>
    <row r="18" spans="3:13">
      <c r="E18" s="236"/>
      <c r="F18" s="237"/>
      <c r="H18" s="235"/>
      <c r="I18" s="235"/>
    </row>
    <row r="19" spans="3:13">
      <c r="C19" s="440" t="s">
        <v>239</v>
      </c>
      <c r="D19" s="441"/>
      <c r="I19" s="4"/>
      <c r="J19" s="4"/>
      <c r="L19" s="5"/>
      <c r="M19" s="5"/>
    </row>
    <row r="20" spans="3:13">
      <c r="E20" s="442" t="s">
        <v>302</v>
      </c>
      <c r="F20" s="443"/>
      <c r="G20" s="443"/>
      <c r="H20" s="443"/>
      <c r="I20" s="443"/>
      <c r="J20" s="4"/>
      <c r="L20" s="5"/>
      <c r="M20" s="5"/>
    </row>
    <row r="21" spans="3:13">
      <c r="I21" s="357"/>
      <c r="J21" s="357"/>
    </row>
    <row r="22" spans="3:13">
      <c r="I22" s="357"/>
      <c r="J22" s="357"/>
    </row>
    <row r="23" spans="3:13">
      <c r="E23" s="2" t="s">
        <v>209</v>
      </c>
      <c r="H23" s="223" t="s">
        <v>210</v>
      </c>
    </row>
    <row r="25" spans="3:13" ht="22.5">
      <c r="C25" s="228" t="s">
        <v>232</v>
      </c>
      <c r="D25" s="233" t="s">
        <v>207</v>
      </c>
      <c r="E25" s="2" t="s">
        <v>211</v>
      </c>
      <c r="F25" s="439" t="s">
        <v>207</v>
      </c>
      <c r="G25" s="439"/>
      <c r="H25" s="223" t="s">
        <v>212</v>
      </c>
      <c r="I25" s="234"/>
      <c r="J25" s="229"/>
      <c r="K25" s="3"/>
    </row>
    <row r="26" spans="3:13">
      <c r="E26" s="230" t="s">
        <v>233</v>
      </c>
      <c r="H26" s="229" t="s">
        <v>245</v>
      </c>
      <c r="I26" s="29"/>
      <c r="J26" s="230"/>
    </row>
    <row r="27" spans="3:13">
      <c r="E27" s="229" t="s">
        <v>243</v>
      </c>
      <c r="H27" s="229" t="s">
        <v>246</v>
      </c>
      <c r="J27" s="223"/>
    </row>
    <row r="28" spans="3:13">
      <c r="E28" s="230" t="s">
        <v>244</v>
      </c>
      <c r="H28" s="229" t="s">
        <v>247</v>
      </c>
    </row>
    <row r="29" spans="3:13">
      <c r="E29" s="223" t="s">
        <v>213</v>
      </c>
      <c r="H29" s="229" t="s">
        <v>248</v>
      </c>
    </row>
    <row r="30" spans="3:13">
      <c r="H30" s="229" t="s">
        <v>249</v>
      </c>
    </row>
    <row r="31" spans="3:13">
      <c r="H31" s="229" t="s">
        <v>250</v>
      </c>
    </row>
  </sheetData>
  <mergeCells count="14">
    <mergeCell ref="F25:G25"/>
    <mergeCell ref="C19:D19"/>
    <mergeCell ref="I21:J21"/>
    <mergeCell ref="I22:J22"/>
    <mergeCell ref="E13:F13"/>
    <mergeCell ref="E20:I20"/>
    <mergeCell ref="E16:F16"/>
    <mergeCell ref="H10:I10"/>
    <mergeCell ref="E11:F11"/>
    <mergeCell ref="E12:F12"/>
    <mergeCell ref="H11:I16"/>
    <mergeCell ref="E14:F14"/>
    <mergeCell ref="E15:F15"/>
    <mergeCell ref="E10:F10"/>
  </mergeCells>
  <phoneticPr fontId="7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2:F8"/>
  <sheetViews>
    <sheetView workbookViewId="0">
      <selection activeCell="Q36" sqref="Q36"/>
    </sheetView>
  </sheetViews>
  <sheetFormatPr defaultRowHeight="13.5"/>
  <cols>
    <col min="2" max="2" width="13.75" customWidth="1"/>
    <col min="3" max="4" width="10.625" customWidth="1"/>
    <col min="6" max="6" width="13.125" hidden="1" customWidth="1"/>
    <col min="7" max="7" width="8.75" customWidth="1"/>
  </cols>
  <sheetData>
    <row r="2" spans="2:5">
      <c r="C2" t="s">
        <v>260</v>
      </c>
      <c r="D2" t="s">
        <v>261</v>
      </c>
    </row>
    <row r="3" spans="2:5">
      <c r="B3" t="s">
        <v>259</v>
      </c>
      <c r="C3">
        <v>222</v>
      </c>
      <c r="D3">
        <v>159</v>
      </c>
      <c r="E3">
        <f>C3-D3</f>
        <v>63</v>
      </c>
    </row>
    <row r="4" spans="2:5">
      <c r="B4" t="s">
        <v>262</v>
      </c>
      <c r="C4">
        <v>2542</v>
      </c>
      <c r="D4">
        <v>2853</v>
      </c>
    </row>
    <row r="5" spans="2:5">
      <c r="B5" t="s">
        <v>263</v>
      </c>
      <c r="C5">
        <v>1111</v>
      </c>
      <c r="D5">
        <v>1775</v>
      </c>
    </row>
    <row r="6" spans="2:5">
      <c r="B6" t="s">
        <v>264</v>
      </c>
      <c r="C6">
        <v>475</v>
      </c>
      <c r="D6">
        <v>607</v>
      </c>
    </row>
    <row r="7" spans="2:5">
      <c r="B7" t="s">
        <v>265</v>
      </c>
      <c r="C7">
        <v>687</v>
      </c>
      <c r="D7">
        <v>889</v>
      </c>
    </row>
    <row r="8" spans="2:5">
      <c r="C8">
        <f>SUM(C3:C7)</f>
        <v>5037</v>
      </c>
      <c r="D8">
        <f>SUM(D3:D7)</f>
        <v>6283</v>
      </c>
    </row>
  </sheetData>
  <phoneticPr fontId="7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2"/>
  <sheetViews>
    <sheetView workbookViewId="0">
      <selection activeCell="C26" sqref="C26"/>
    </sheetView>
  </sheetViews>
  <sheetFormatPr defaultRowHeight="13.5"/>
  <cols>
    <col min="1" max="6" width="20.375" customWidth="1"/>
  </cols>
  <sheetData>
    <row r="1" spans="1:6" ht="27.75" customHeight="1">
      <c r="A1" s="446" t="s">
        <v>269</v>
      </c>
      <c r="B1" s="446"/>
      <c r="C1" s="446"/>
      <c r="D1" s="446"/>
      <c r="E1" s="446"/>
      <c r="F1" s="446"/>
    </row>
    <row r="2" spans="1:6" ht="24.75" customHeight="1">
      <c r="A2" s="248" t="s">
        <v>270</v>
      </c>
      <c r="B2" s="248" t="s">
        <v>100</v>
      </c>
      <c r="C2" s="248" t="s">
        <v>271</v>
      </c>
      <c r="D2" s="248" t="s">
        <v>272</v>
      </c>
      <c r="E2" s="248" t="s">
        <v>100</v>
      </c>
      <c r="F2" s="248" t="s">
        <v>271</v>
      </c>
    </row>
    <row r="3" spans="1:6" ht="24.75" customHeight="1">
      <c r="A3" s="248" t="s">
        <v>273</v>
      </c>
      <c r="B3" s="249">
        <v>80</v>
      </c>
      <c r="C3" s="250">
        <f>B3/B11</f>
        <v>1.6931216931216932E-2</v>
      </c>
      <c r="D3" s="248" t="s">
        <v>274</v>
      </c>
      <c r="E3" s="249"/>
      <c r="F3" s="250" t="s">
        <v>275</v>
      </c>
    </row>
    <row r="4" spans="1:6" ht="24.75" customHeight="1">
      <c r="A4" s="248" t="s">
        <v>276</v>
      </c>
      <c r="B4" s="249">
        <v>587</v>
      </c>
      <c r="C4" s="250">
        <f>B4/B11</f>
        <v>0.12423280423280424</v>
      </c>
      <c r="D4" s="248" t="s">
        <v>277</v>
      </c>
      <c r="E4" s="249">
        <v>478</v>
      </c>
      <c r="F4" s="250">
        <f>E4/B11</f>
        <v>0.10116402116402116</v>
      </c>
    </row>
    <row r="5" spans="1:6" ht="24.75" customHeight="1">
      <c r="A5" s="248" t="s">
        <v>278</v>
      </c>
      <c r="B5" s="249">
        <v>2392</v>
      </c>
      <c r="C5" s="250">
        <f>B5/B11</f>
        <v>0.50624338624338627</v>
      </c>
      <c r="D5" s="248" t="s">
        <v>279</v>
      </c>
      <c r="E5" s="249"/>
      <c r="F5" s="250">
        <f>E5/B11</f>
        <v>0</v>
      </c>
    </row>
    <row r="6" spans="1:6" ht="24.75" customHeight="1">
      <c r="A6" s="248" t="s">
        <v>280</v>
      </c>
      <c r="B6" s="249">
        <v>20</v>
      </c>
      <c r="C6" s="250" t="s">
        <v>275</v>
      </c>
      <c r="D6" s="248" t="s">
        <v>281</v>
      </c>
      <c r="E6" s="249"/>
      <c r="F6" s="250" t="s">
        <v>275</v>
      </c>
    </row>
    <row r="7" spans="1:6" ht="24.75" customHeight="1">
      <c r="A7" s="248"/>
      <c r="B7" s="249"/>
      <c r="C7" s="250"/>
      <c r="D7" s="248" t="s">
        <v>282</v>
      </c>
      <c r="E7" s="249"/>
      <c r="F7" s="250" t="s">
        <v>275</v>
      </c>
    </row>
    <row r="8" spans="1:6" ht="24.75" customHeight="1">
      <c r="A8" s="248"/>
      <c r="B8" s="249"/>
      <c r="C8" s="250"/>
      <c r="D8" s="248" t="s">
        <v>283</v>
      </c>
      <c r="E8" s="249">
        <v>500</v>
      </c>
      <c r="F8" s="250" t="s">
        <v>275</v>
      </c>
    </row>
    <row r="9" spans="1:6" ht="24.75" customHeight="1">
      <c r="A9" s="248" t="s">
        <v>36</v>
      </c>
      <c r="B9" s="249">
        <f>SUM(B3:B8)</f>
        <v>3079</v>
      </c>
      <c r="C9" s="250">
        <f>C3+C4+C5</f>
        <v>0.64740740740740743</v>
      </c>
      <c r="D9" s="248" t="s">
        <v>36</v>
      </c>
      <c r="E9" s="249">
        <f>SUM(E3:E8)</f>
        <v>978</v>
      </c>
      <c r="F9" s="250">
        <f>F4+F5</f>
        <v>0.10116402116402116</v>
      </c>
    </row>
    <row r="10" spans="1:6" ht="24.75" customHeight="1">
      <c r="A10" s="251"/>
      <c r="B10" s="252"/>
      <c r="C10" s="253"/>
      <c r="D10" s="4"/>
      <c r="E10" s="252"/>
      <c r="F10" s="254"/>
    </row>
    <row r="11" spans="1:6" ht="24.75" customHeight="1">
      <c r="A11" s="255" t="s">
        <v>284</v>
      </c>
      <c r="B11" s="256">
        <v>4725</v>
      </c>
      <c r="C11" s="255" t="s">
        <v>285</v>
      </c>
      <c r="D11" s="257">
        <v>7015</v>
      </c>
      <c r="E11" s="257" t="s">
        <v>286</v>
      </c>
      <c r="F11" s="256">
        <f>D11-B11</f>
        <v>2290</v>
      </c>
    </row>
    <row r="12" spans="1:6" ht="24.75" customHeight="1">
      <c r="A12" s="255" t="s">
        <v>287</v>
      </c>
      <c r="B12" s="257">
        <f>D11*0.1</f>
        <v>701.5</v>
      </c>
      <c r="C12" s="257" t="s">
        <v>288</v>
      </c>
      <c r="D12" s="258">
        <f>F11*(C9-F9)</f>
        <v>1250.8973544973546</v>
      </c>
      <c r="E12" s="257"/>
      <c r="F12" s="257"/>
    </row>
    <row r="17" spans="1:6">
      <c r="A17" s="446" t="s">
        <v>269</v>
      </c>
      <c r="B17" s="446"/>
      <c r="C17" s="446"/>
      <c r="D17" s="446"/>
      <c r="E17" s="446"/>
      <c r="F17" s="446"/>
    </row>
    <row r="18" spans="1:6" ht="29.25" customHeight="1">
      <c r="A18" s="248" t="s">
        <v>270</v>
      </c>
      <c r="B18" s="248" t="s">
        <v>100</v>
      </c>
      <c r="C18" s="248" t="s">
        <v>271</v>
      </c>
      <c r="D18" s="248" t="s">
        <v>272</v>
      </c>
      <c r="E18" s="248" t="s">
        <v>100</v>
      </c>
      <c r="F18" s="248" t="s">
        <v>271</v>
      </c>
    </row>
    <row r="19" spans="1:6" ht="29.25" customHeight="1">
      <c r="A19" s="248" t="s">
        <v>273</v>
      </c>
      <c r="B19" s="249">
        <v>83</v>
      </c>
      <c r="C19" s="250">
        <f>B19/B27</f>
        <v>1.1831789023521026E-2</v>
      </c>
      <c r="D19" s="248" t="s">
        <v>274</v>
      </c>
      <c r="E19" s="249"/>
      <c r="F19" s="250" t="s">
        <v>275</v>
      </c>
    </row>
    <row r="20" spans="1:6" ht="29.25" customHeight="1">
      <c r="A20" s="248" t="s">
        <v>276</v>
      </c>
      <c r="B20" s="249">
        <v>558</v>
      </c>
      <c r="C20" s="250">
        <f>B20/B27</f>
        <v>7.9543834640057015E-2</v>
      </c>
      <c r="D20" s="248" t="s">
        <v>277</v>
      </c>
      <c r="E20" s="249">
        <v>600</v>
      </c>
      <c r="F20" s="250">
        <f>E20/B27</f>
        <v>8.5531004989308629E-2</v>
      </c>
    </row>
    <row r="21" spans="1:6" ht="29.25" customHeight="1">
      <c r="A21" s="248" t="s">
        <v>278</v>
      </c>
      <c r="B21" s="249">
        <v>2364</v>
      </c>
      <c r="C21" s="250">
        <f>B21/B27</f>
        <v>0.33699215965787599</v>
      </c>
      <c r="D21" s="248" t="s">
        <v>279</v>
      </c>
      <c r="E21" s="249"/>
      <c r="F21" s="250">
        <f>E21/B27</f>
        <v>0</v>
      </c>
    </row>
    <row r="22" spans="1:6" ht="29.25" customHeight="1">
      <c r="A22" s="248" t="s">
        <v>280</v>
      </c>
      <c r="B22" s="249">
        <v>20</v>
      </c>
      <c r="C22" s="250" t="s">
        <v>275</v>
      </c>
      <c r="D22" s="248" t="s">
        <v>281</v>
      </c>
      <c r="E22" s="249"/>
      <c r="F22" s="250" t="s">
        <v>275</v>
      </c>
    </row>
    <row r="23" spans="1:6" ht="29.25" customHeight="1">
      <c r="A23" s="248"/>
      <c r="B23" s="249"/>
      <c r="C23" s="250"/>
      <c r="D23" s="248" t="s">
        <v>282</v>
      </c>
      <c r="E23" s="249"/>
      <c r="F23" s="250" t="s">
        <v>275</v>
      </c>
    </row>
    <row r="24" spans="1:6" ht="29.25" customHeight="1">
      <c r="A24" s="248"/>
      <c r="B24" s="249"/>
      <c r="C24" s="250"/>
      <c r="D24" s="248" t="s">
        <v>283</v>
      </c>
      <c r="E24" s="249">
        <v>500</v>
      </c>
      <c r="F24" s="250" t="s">
        <v>275</v>
      </c>
    </row>
    <row r="25" spans="1:6" ht="29.25" customHeight="1">
      <c r="A25" s="248" t="s">
        <v>36</v>
      </c>
      <c r="B25" s="249">
        <f>SUM(B19:B24)</f>
        <v>3025</v>
      </c>
      <c r="C25" s="250">
        <f>C19+C20+C21</f>
        <v>0.42836778332145403</v>
      </c>
      <c r="D25" s="248" t="s">
        <v>36</v>
      </c>
      <c r="E25" s="249">
        <f>SUM(E19:E24)</f>
        <v>1100</v>
      </c>
      <c r="F25" s="250">
        <f>F20+F21</f>
        <v>8.5531004989308629E-2</v>
      </c>
    </row>
    <row r="26" spans="1:6" ht="29.25" customHeight="1">
      <c r="A26" s="251"/>
      <c r="B26" s="252"/>
      <c r="C26" s="253"/>
      <c r="D26" s="4"/>
      <c r="E26" s="252"/>
      <c r="F26" s="254"/>
    </row>
    <row r="27" spans="1:6" ht="29.25" customHeight="1">
      <c r="A27" s="255" t="s">
        <v>284</v>
      </c>
      <c r="B27" s="256">
        <v>7015</v>
      </c>
      <c r="C27" s="255" t="s">
        <v>285</v>
      </c>
      <c r="D27" s="257">
        <v>10200</v>
      </c>
      <c r="E27" s="257" t="s">
        <v>286</v>
      </c>
      <c r="F27" s="256">
        <f>D27-B27</f>
        <v>3185</v>
      </c>
    </row>
    <row r="28" spans="1:6" ht="29.25" customHeight="1">
      <c r="A28" s="310" t="s">
        <v>301</v>
      </c>
      <c r="B28" s="257">
        <f>D27*0.1</f>
        <v>1020</v>
      </c>
      <c r="C28" s="257" t="s">
        <v>288</v>
      </c>
      <c r="D28" s="331">
        <f>F27*(C25-F25)</f>
        <v>1091.9351389878832</v>
      </c>
      <c r="E28" s="257"/>
      <c r="F28" s="257"/>
    </row>
    <row r="30" spans="1:6" ht="29.25" customHeight="1">
      <c r="A30" t="s">
        <v>357</v>
      </c>
    </row>
    <row r="31" spans="1:6" ht="29.25" customHeight="1">
      <c r="A31" s="446" t="s">
        <v>269</v>
      </c>
      <c r="B31" s="446"/>
      <c r="C31" s="446"/>
      <c r="D31" s="446"/>
      <c r="E31" s="446"/>
      <c r="F31" s="446"/>
    </row>
    <row r="32" spans="1:6" ht="29.25" customHeight="1">
      <c r="A32" s="320" t="s">
        <v>270</v>
      </c>
      <c r="B32" s="320" t="s">
        <v>100</v>
      </c>
      <c r="C32" s="320" t="s">
        <v>271</v>
      </c>
      <c r="D32" s="320" t="s">
        <v>272</v>
      </c>
      <c r="E32" s="320" t="s">
        <v>100</v>
      </c>
      <c r="F32" s="320" t="s">
        <v>271</v>
      </c>
    </row>
    <row r="33" spans="1:6" ht="29.25" customHeight="1">
      <c r="A33" s="320" t="s">
        <v>273</v>
      </c>
      <c r="B33" s="249">
        <v>83</v>
      </c>
      <c r="C33" s="250">
        <f>B33/B41</f>
        <v>1.1831789023521026E-2</v>
      </c>
      <c r="D33" s="320" t="s">
        <v>274</v>
      </c>
      <c r="E33" s="249"/>
      <c r="F33" s="250" t="s">
        <v>275</v>
      </c>
    </row>
    <row r="34" spans="1:6" ht="29.25" customHeight="1">
      <c r="A34" s="320" t="s">
        <v>276</v>
      </c>
      <c r="B34" s="249">
        <v>558</v>
      </c>
      <c r="C34" s="250">
        <f>B34/B41</f>
        <v>7.9543834640057015E-2</v>
      </c>
      <c r="D34" s="320" t="s">
        <v>277</v>
      </c>
      <c r="E34" s="249">
        <v>600</v>
      </c>
      <c r="F34" s="250">
        <f>E34/B41</f>
        <v>8.5531004989308629E-2</v>
      </c>
    </row>
    <row r="35" spans="1:6" ht="29.25" customHeight="1">
      <c r="A35" s="320" t="s">
        <v>278</v>
      </c>
      <c r="B35" s="249">
        <v>2364</v>
      </c>
      <c r="C35" s="250">
        <f>B35/B41</f>
        <v>0.33699215965787599</v>
      </c>
      <c r="D35" s="320" t="s">
        <v>279</v>
      </c>
      <c r="E35" s="249"/>
      <c r="F35" s="250">
        <f>E35/B41</f>
        <v>0</v>
      </c>
    </row>
    <row r="36" spans="1:6" ht="29.25" customHeight="1">
      <c r="A36" s="320" t="s">
        <v>280</v>
      </c>
      <c r="B36" s="249">
        <v>20</v>
      </c>
      <c r="C36" s="250" t="s">
        <v>275</v>
      </c>
      <c r="D36" s="320" t="s">
        <v>281</v>
      </c>
      <c r="E36" s="249"/>
      <c r="F36" s="250" t="s">
        <v>275</v>
      </c>
    </row>
    <row r="37" spans="1:6" ht="29.25" customHeight="1">
      <c r="A37" s="320"/>
      <c r="B37" s="249"/>
      <c r="C37" s="250"/>
      <c r="D37" s="320" t="s">
        <v>282</v>
      </c>
      <c r="E37" s="249"/>
      <c r="F37" s="250" t="s">
        <v>275</v>
      </c>
    </row>
    <row r="38" spans="1:6" ht="29.25" customHeight="1">
      <c r="A38" s="320"/>
      <c r="B38" s="249"/>
      <c r="C38" s="250"/>
      <c r="D38" s="320" t="s">
        <v>283</v>
      </c>
      <c r="E38" s="249">
        <v>500</v>
      </c>
      <c r="F38" s="250" t="s">
        <v>275</v>
      </c>
    </row>
    <row r="39" spans="1:6" ht="29.25" customHeight="1">
      <c r="A39" s="320" t="s">
        <v>36</v>
      </c>
      <c r="B39" s="249">
        <f>SUM(B33:B38)</f>
        <v>3025</v>
      </c>
      <c r="C39" s="250">
        <f>C33+C34+C35</f>
        <v>0.42836778332145403</v>
      </c>
      <c r="D39" s="320" t="s">
        <v>36</v>
      </c>
      <c r="E39" s="249">
        <f>SUM(E33:E38)</f>
        <v>1100</v>
      </c>
      <c r="F39" s="250">
        <f>F34+F35</f>
        <v>8.5531004989308629E-2</v>
      </c>
    </row>
    <row r="40" spans="1:6" ht="29.25" customHeight="1">
      <c r="A40" s="251"/>
      <c r="B40" s="252"/>
      <c r="C40" s="253"/>
      <c r="D40" s="4"/>
      <c r="E40" s="252"/>
      <c r="F40" s="254"/>
    </row>
    <row r="41" spans="1:6" ht="29.25" customHeight="1">
      <c r="A41" s="255" t="s">
        <v>284</v>
      </c>
      <c r="B41" s="256">
        <v>7015</v>
      </c>
      <c r="C41" s="255" t="s">
        <v>285</v>
      </c>
      <c r="D41" s="257">
        <v>8500</v>
      </c>
      <c r="E41" s="257" t="s">
        <v>286</v>
      </c>
      <c r="F41" s="256">
        <f>D41-B41</f>
        <v>1485</v>
      </c>
    </row>
    <row r="42" spans="1:6" ht="29.25" customHeight="1">
      <c r="A42" s="310" t="s">
        <v>301</v>
      </c>
      <c r="B42" s="257">
        <f>D41*0.1</f>
        <v>850</v>
      </c>
      <c r="C42" s="257" t="s">
        <v>288</v>
      </c>
      <c r="D42" s="331">
        <f>F41*(C39-F39)</f>
        <v>509.11261582323596</v>
      </c>
      <c r="E42" s="257"/>
      <c r="F42" s="257"/>
    </row>
  </sheetData>
  <mergeCells count="3">
    <mergeCell ref="A1:F1"/>
    <mergeCell ref="A17:F17"/>
    <mergeCell ref="A31:F31"/>
  </mergeCells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18"/>
  <sheetViews>
    <sheetView workbookViewId="0">
      <selection activeCell="O26" sqref="O26"/>
    </sheetView>
  </sheetViews>
  <sheetFormatPr defaultRowHeight="20.100000000000001" customHeight="1"/>
  <cols>
    <col min="1" max="1" width="5.875" style="245" customWidth="1"/>
    <col min="2" max="2" width="11.625" style="284" customWidth="1"/>
    <col min="3" max="3" width="11.625" style="285" customWidth="1"/>
    <col min="4" max="4" width="11.625" style="284" customWidth="1"/>
    <col min="5" max="6" width="13.375" style="284" customWidth="1"/>
    <col min="7" max="7" width="7.875" style="284" customWidth="1"/>
    <col min="8" max="8" width="9.5" bestFit="1" customWidth="1"/>
    <col min="9" max="9" width="9.5" customWidth="1"/>
    <col min="10" max="10" width="5.375" customWidth="1"/>
    <col min="11" max="12" width="13.25" customWidth="1"/>
    <col min="13" max="13" width="15.75" customWidth="1"/>
    <col min="14" max="14" width="7.625" customWidth="1"/>
    <col min="15" max="16" width="9" customWidth="1"/>
    <col min="17" max="17" width="6.75" style="239" customWidth="1"/>
    <col min="18" max="18" width="10.5" style="239" customWidth="1"/>
    <col min="19" max="19" width="12.125" style="239" customWidth="1"/>
  </cols>
  <sheetData>
    <row r="1" spans="1:21" ht="20.100000000000001" customHeight="1">
      <c r="A1" s="447" t="s">
        <v>293</v>
      </c>
      <c r="B1" s="454" t="s">
        <v>290</v>
      </c>
      <c r="C1" s="455"/>
      <c r="D1" s="455"/>
      <c r="E1" s="455"/>
      <c r="F1" s="455"/>
      <c r="G1" s="455"/>
      <c r="H1" s="456"/>
      <c r="I1" s="227"/>
      <c r="J1" s="451" t="s">
        <v>291</v>
      </c>
      <c r="K1" s="452"/>
      <c r="L1" s="452"/>
      <c r="M1" s="452"/>
      <c r="N1" s="452"/>
      <c r="O1" s="453"/>
      <c r="P1" s="309"/>
      <c r="Q1" s="448" t="s">
        <v>292</v>
      </c>
      <c r="R1" s="449"/>
      <c r="S1" s="449"/>
      <c r="T1" s="449"/>
      <c r="U1" s="450"/>
    </row>
    <row r="2" spans="1:21" s="5" customFormat="1" ht="20.100000000000001" customHeight="1">
      <c r="A2" s="447"/>
      <c r="B2" s="300">
        <v>2015</v>
      </c>
      <c r="C2" s="286">
        <v>2016</v>
      </c>
      <c r="D2" s="266">
        <v>2017</v>
      </c>
      <c r="E2" s="266" t="s">
        <v>295</v>
      </c>
      <c r="F2" s="266" t="s">
        <v>296</v>
      </c>
      <c r="G2" s="296" t="s">
        <v>299</v>
      </c>
      <c r="H2" s="301" t="s">
        <v>300</v>
      </c>
      <c r="I2" s="294"/>
      <c r="J2" s="303">
        <v>2015</v>
      </c>
      <c r="K2" s="5">
        <v>2016</v>
      </c>
      <c r="L2" s="5">
        <v>2017</v>
      </c>
      <c r="M2" s="5" t="s">
        <v>297</v>
      </c>
      <c r="N2" s="296" t="s">
        <v>299</v>
      </c>
      <c r="O2" s="301" t="s">
        <v>300</v>
      </c>
      <c r="P2" s="294"/>
      <c r="Q2" s="300">
        <v>2015</v>
      </c>
      <c r="R2" s="266">
        <v>2016</v>
      </c>
      <c r="S2" s="266">
        <v>2017</v>
      </c>
      <c r="T2" s="5" t="s">
        <v>298</v>
      </c>
      <c r="U2" s="301" t="s">
        <v>300</v>
      </c>
    </row>
    <row r="3" spans="1:21" s="5" customFormat="1" ht="20.100000000000001" customHeight="1">
      <c r="A3" s="4">
        <v>1</v>
      </c>
      <c r="B3" s="270">
        <v>3363710</v>
      </c>
      <c r="C3" s="268">
        <v>5061570</v>
      </c>
      <c r="D3" s="267">
        <v>7631231.71</v>
      </c>
      <c r="E3" s="267">
        <f>C3-B3</f>
        <v>1697860</v>
      </c>
      <c r="F3" s="267">
        <f>D3-C3</f>
        <v>2569661.71</v>
      </c>
      <c r="G3" s="269">
        <f>(B3+C3+D3)/($B$15+$C$15+$D$15)</f>
        <v>0.10580705487747098</v>
      </c>
      <c r="H3" s="260">
        <f>G3*10200</f>
        <v>1079.2319597502039</v>
      </c>
      <c r="I3" s="295"/>
      <c r="J3" s="270"/>
      <c r="K3" s="267">
        <v>2595654</v>
      </c>
      <c r="L3" s="267">
        <v>3959444.77</v>
      </c>
      <c r="M3" s="267">
        <f>L3-K3</f>
        <v>1363790.77</v>
      </c>
      <c r="N3" s="269">
        <f>(K3+L3)/($K$15+$L$15)</f>
        <v>6.2292786476905122E-2</v>
      </c>
      <c r="O3" s="304">
        <f>N3*$O$15</f>
        <v>540.07845875476744</v>
      </c>
      <c r="P3" s="299"/>
      <c r="Q3" s="271"/>
      <c r="R3" s="272">
        <f t="shared" ref="R3:R15" si="0">K3/C3</f>
        <v>0.51281598397335215</v>
      </c>
      <c r="S3" s="272">
        <f t="shared" ref="S3:S15" si="1">L3/D3</f>
        <v>0.51884740504098781</v>
      </c>
      <c r="T3" s="259">
        <f>G3-N3</f>
        <v>4.351426840056586E-2</v>
      </c>
      <c r="U3" s="260">
        <f>H3-O3</f>
        <v>539.1535009954365</v>
      </c>
    </row>
    <row r="4" spans="1:21" s="5" customFormat="1" ht="20.100000000000001" customHeight="1">
      <c r="A4" s="297">
        <v>2</v>
      </c>
      <c r="B4" s="270">
        <v>3844072</v>
      </c>
      <c r="C4" s="268">
        <v>3586366</v>
      </c>
      <c r="D4" s="267">
        <v>3366647.52</v>
      </c>
      <c r="E4" s="273">
        <f t="shared" ref="E4:F15" si="2">C4-B4</f>
        <v>-257706</v>
      </c>
      <c r="F4" s="273">
        <f t="shared" si="2"/>
        <v>-219718.47999999998</v>
      </c>
      <c r="G4" s="269">
        <f t="shared" ref="G4:G15" si="3">(B4+C4+D4)/($B$15+$C$15+$D$15)</f>
        <v>7.1149191104808607E-2</v>
      </c>
      <c r="H4" s="260">
        <f t="shared" ref="H4:H14" si="4">G4*10200</f>
        <v>725.72174926904779</v>
      </c>
      <c r="I4" s="295"/>
      <c r="J4" s="270"/>
      <c r="K4" s="267">
        <v>2321957</v>
      </c>
      <c r="L4" s="267">
        <v>2561877.2200000002</v>
      </c>
      <c r="M4" s="267">
        <f t="shared" ref="M4:M15" si="5">L4-K4</f>
        <v>239920.2200000002</v>
      </c>
      <c r="N4" s="269">
        <f t="shared" ref="N4:N15" si="6">(K4+L4)/($K$15+$L$15)</f>
        <v>4.6410840313709345E-2</v>
      </c>
      <c r="O4" s="304">
        <f t="shared" ref="O4:O14" si="7">N4*$O$15</f>
        <v>402.38198551986</v>
      </c>
      <c r="P4" s="299"/>
      <c r="Q4" s="271"/>
      <c r="R4" s="272">
        <f t="shared" si="0"/>
        <v>0.64744005491910195</v>
      </c>
      <c r="S4" s="272">
        <f t="shared" si="1"/>
        <v>0.76095795736881899</v>
      </c>
      <c r="T4" s="259">
        <f t="shared" ref="T4:T15" si="8">G4-N4</f>
        <v>2.4738350791099262E-2</v>
      </c>
      <c r="U4" s="260">
        <f t="shared" ref="U4:U15" si="9">H4-O4</f>
        <v>323.3397637491878</v>
      </c>
    </row>
    <row r="5" spans="1:21" s="5" customFormat="1" ht="20.100000000000001" customHeight="1">
      <c r="A5" s="298">
        <v>3</v>
      </c>
      <c r="B5" s="270">
        <v>2371938</v>
      </c>
      <c r="C5" s="268">
        <v>2362357</v>
      </c>
      <c r="D5" s="267">
        <v>3850062.14</v>
      </c>
      <c r="E5" s="267">
        <f t="shared" si="2"/>
        <v>-9581</v>
      </c>
      <c r="F5" s="267">
        <f t="shared" si="2"/>
        <v>1487705.1400000001</v>
      </c>
      <c r="G5" s="269">
        <f t="shared" si="3"/>
        <v>5.656804936243464E-2</v>
      </c>
      <c r="H5" s="260">
        <f t="shared" si="4"/>
        <v>576.9941034968333</v>
      </c>
      <c r="I5" s="295"/>
      <c r="J5" s="270"/>
      <c r="K5" s="267">
        <v>2653497</v>
      </c>
      <c r="L5" s="267">
        <v>3923132</v>
      </c>
      <c r="M5" s="267">
        <f t="shared" si="5"/>
        <v>1269635</v>
      </c>
      <c r="N5" s="269">
        <f t="shared" si="6"/>
        <v>6.249738721096678E-2</v>
      </c>
      <c r="O5" s="304">
        <f t="shared" si="7"/>
        <v>541.85234711908197</v>
      </c>
      <c r="P5" s="299"/>
      <c r="Q5" s="271"/>
      <c r="R5" s="274">
        <f t="shared" si="0"/>
        <v>1.1232413221202384</v>
      </c>
      <c r="S5" s="274">
        <f t="shared" si="1"/>
        <v>1.0189788780915625</v>
      </c>
      <c r="T5" s="287">
        <f t="shared" si="8"/>
        <v>-5.9293378485321402E-3</v>
      </c>
      <c r="U5" s="306">
        <f t="shared" si="9"/>
        <v>35.141756377751335</v>
      </c>
    </row>
    <row r="6" spans="1:21" s="5" customFormat="1" ht="20.100000000000001" customHeight="1">
      <c r="A6" s="4">
        <v>4</v>
      </c>
      <c r="B6" s="270">
        <v>2019025</v>
      </c>
      <c r="C6" s="268">
        <v>2311782</v>
      </c>
      <c r="D6" s="267">
        <v>4075445.01</v>
      </c>
      <c r="E6" s="267">
        <f t="shared" si="2"/>
        <v>292757</v>
      </c>
      <c r="F6" s="267">
        <f t="shared" si="2"/>
        <v>1763663.0099999998</v>
      </c>
      <c r="G6" s="269">
        <f t="shared" si="3"/>
        <v>5.5394395980913877E-2</v>
      </c>
      <c r="H6" s="260">
        <f t="shared" si="4"/>
        <v>565.02283900532154</v>
      </c>
      <c r="I6" s="295"/>
      <c r="J6" s="270"/>
      <c r="K6" s="267">
        <v>2379422</v>
      </c>
      <c r="L6" s="267">
        <v>3230481</v>
      </c>
      <c r="M6" s="267">
        <f t="shared" si="5"/>
        <v>851059</v>
      </c>
      <c r="N6" s="269">
        <f t="shared" si="6"/>
        <v>5.3310636802982835E-2</v>
      </c>
      <c r="O6" s="304">
        <f t="shared" si="7"/>
        <v>462.20322108186116</v>
      </c>
      <c r="P6" s="299"/>
      <c r="Q6" s="271"/>
      <c r="R6" s="274">
        <f t="shared" si="0"/>
        <v>1.0292588141961483</v>
      </c>
      <c r="S6" s="272">
        <f t="shared" si="1"/>
        <v>0.79266951021871357</v>
      </c>
      <c r="T6" s="259">
        <f t="shared" si="8"/>
        <v>2.0837591779310424E-3</v>
      </c>
      <c r="U6" s="260">
        <f t="shared" si="9"/>
        <v>102.81961792346038</v>
      </c>
    </row>
    <row r="7" spans="1:21" s="5" customFormat="1" ht="20.100000000000001" customHeight="1">
      <c r="A7" s="298">
        <v>5</v>
      </c>
      <c r="B7" s="270">
        <v>2358725</v>
      </c>
      <c r="C7" s="268">
        <v>2522309</v>
      </c>
      <c r="D7" s="267">
        <v>3974730.05</v>
      </c>
      <c r="E7" s="267">
        <f t="shared" si="2"/>
        <v>163584</v>
      </c>
      <c r="F7" s="267">
        <f t="shared" si="2"/>
        <v>1452421.0499999998</v>
      </c>
      <c r="G7" s="269">
        <f t="shared" si="3"/>
        <v>5.8356530343805585E-2</v>
      </c>
      <c r="H7" s="260">
        <f t="shared" si="4"/>
        <v>595.23660950681699</v>
      </c>
      <c r="I7" s="295"/>
      <c r="J7" s="270"/>
      <c r="K7" s="267">
        <v>3016833</v>
      </c>
      <c r="L7" s="267">
        <v>5553920.75</v>
      </c>
      <c r="M7" s="267">
        <f t="shared" si="5"/>
        <v>2537087.75</v>
      </c>
      <c r="N7" s="269">
        <f t="shared" si="6"/>
        <v>8.1447458234848821E-2</v>
      </c>
      <c r="O7" s="304">
        <f t="shared" si="7"/>
        <v>706.14946289613931</v>
      </c>
      <c r="P7" s="299"/>
      <c r="Q7" s="271"/>
      <c r="R7" s="274">
        <f t="shared" si="0"/>
        <v>1.1960600386391993</v>
      </c>
      <c r="S7" s="274">
        <f t="shared" si="1"/>
        <v>1.397307661183179</v>
      </c>
      <c r="T7" s="287">
        <f t="shared" si="8"/>
        <v>-2.3090927891043236E-2</v>
      </c>
      <c r="U7" s="306">
        <f t="shared" si="9"/>
        <v>-110.91285338932232</v>
      </c>
    </row>
    <row r="8" spans="1:21" s="5" customFormat="1" ht="20.100000000000001" customHeight="1">
      <c r="A8" s="298">
        <v>6</v>
      </c>
      <c r="B8" s="270">
        <v>1773093</v>
      </c>
      <c r="C8" s="268">
        <v>2496650</v>
      </c>
      <c r="D8" s="267">
        <v>3082882.33</v>
      </c>
      <c r="E8" s="273">
        <f t="shared" si="2"/>
        <v>723557</v>
      </c>
      <c r="F8" s="273">
        <f t="shared" si="2"/>
        <v>586232.33000000007</v>
      </c>
      <c r="G8" s="269">
        <f t="shared" si="3"/>
        <v>4.8451347704637465E-2</v>
      </c>
      <c r="H8" s="260">
        <f t="shared" si="4"/>
        <v>494.20374658730213</v>
      </c>
      <c r="I8" s="295"/>
      <c r="J8" s="270"/>
      <c r="K8" s="267">
        <v>3272616</v>
      </c>
      <c r="L8" s="267">
        <v>3708420.3</v>
      </c>
      <c r="M8" s="267">
        <f t="shared" si="5"/>
        <v>435804.29999999981</v>
      </c>
      <c r="N8" s="269">
        <f t="shared" si="6"/>
        <v>6.6340450217720184E-2</v>
      </c>
      <c r="O8" s="304">
        <f t="shared" si="7"/>
        <v>575.17170338763401</v>
      </c>
      <c r="P8" s="299"/>
      <c r="Q8" s="271"/>
      <c r="R8" s="274">
        <f t="shared" si="0"/>
        <v>1.3108028758536439</v>
      </c>
      <c r="S8" s="274">
        <f t="shared" si="1"/>
        <v>1.2029068589199121</v>
      </c>
      <c r="T8" s="287">
        <f t="shared" si="8"/>
        <v>-1.7889102513082719E-2</v>
      </c>
      <c r="U8" s="306">
        <f t="shared" si="9"/>
        <v>-80.967956800331876</v>
      </c>
    </row>
    <row r="9" spans="1:21" s="5" customFormat="1" ht="20.100000000000001" customHeight="1">
      <c r="A9" s="298">
        <v>7</v>
      </c>
      <c r="B9" s="270">
        <v>1422713</v>
      </c>
      <c r="C9" s="268">
        <v>2423217</v>
      </c>
      <c r="D9" s="267">
        <v>4131488.35</v>
      </c>
      <c r="E9" s="267">
        <f t="shared" si="2"/>
        <v>1000504</v>
      </c>
      <c r="F9" s="267">
        <f t="shared" si="2"/>
        <v>1708271.35</v>
      </c>
      <c r="G9" s="269">
        <f t="shared" si="3"/>
        <v>5.2568525242833952E-2</v>
      </c>
      <c r="H9" s="260">
        <f t="shared" si="4"/>
        <v>536.19895747690634</v>
      </c>
      <c r="I9" s="295"/>
      <c r="J9" s="270"/>
      <c r="K9" s="267">
        <v>3089301</v>
      </c>
      <c r="L9" s="267">
        <v>5452937.4000000004</v>
      </c>
      <c r="M9" s="268">
        <f t="shared" si="5"/>
        <v>2363636.4000000004</v>
      </c>
      <c r="N9" s="269">
        <f t="shared" si="6"/>
        <v>8.1176478243365921E-2</v>
      </c>
      <c r="O9" s="304">
        <f t="shared" si="7"/>
        <v>703.80006636998257</v>
      </c>
      <c r="P9" s="299"/>
      <c r="Q9" s="271"/>
      <c r="R9" s="274">
        <f t="shared" si="0"/>
        <v>1.2748759190778209</v>
      </c>
      <c r="S9" s="274">
        <f t="shared" si="1"/>
        <v>1.319848184976729</v>
      </c>
      <c r="T9" s="287">
        <f t="shared" si="8"/>
        <v>-2.8607953000531969E-2</v>
      </c>
      <c r="U9" s="306">
        <f t="shared" si="9"/>
        <v>-167.60110889307623</v>
      </c>
    </row>
    <row r="10" spans="1:21" s="5" customFormat="1" ht="20.100000000000001" customHeight="1">
      <c r="A10" s="298">
        <v>8</v>
      </c>
      <c r="B10" s="270">
        <v>2133183</v>
      </c>
      <c r="C10" s="268">
        <v>3652589</v>
      </c>
      <c r="D10" s="267">
        <v>4632674.79</v>
      </c>
      <c r="E10" s="267">
        <f t="shared" si="2"/>
        <v>1519406</v>
      </c>
      <c r="F10" s="273">
        <f t="shared" si="2"/>
        <v>980085.79</v>
      </c>
      <c r="G10" s="269">
        <f t="shared" si="3"/>
        <v>6.8654088207776812E-2</v>
      </c>
      <c r="H10" s="260">
        <f t="shared" si="4"/>
        <v>700.27169971932346</v>
      </c>
      <c r="I10" s="295"/>
      <c r="J10" s="270"/>
      <c r="K10" s="267">
        <v>3939642</v>
      </c>
      <c r="L10" s="267">
        <v>7286820.5</v>
      </c>
      <c r="M10" s="268">
        <f t="shared" si="5"/>
        <v>3347178.5</v>
      </c>
      <c r="N10" s="269">
        <f t="shared" si="6"/>
        <v>0.1066845300034255</v>
      </c>
      <c r="O10" s="304">
        <f t="shared" si="7"/>
        <v>924.95487512969908</v>
      </c>
      <c r="P10" s="299"/>
      <c r="Q10" s="271"/>
      <c r="R10" s="274">
        <f t="shared" si="0"/>
        <v>1.0785889132338733</v>
      </c>
      <c r="S10" s="274">
        <f t="shared" si="1"/>
        <v>1.5729186334704923</v>
      </c>
      <c r="T10" s="287">
        <f t="shared" si="8"/>
        <v>-3.8030441795648684E-2</v>
      </c>
      <c r="U10" s="306">
        <f t="shared" si="9"/>
        <v>-224.68317541037561</v>
      </c>
    </row>
    <row r="11" spans="1:21" s="5" customFormat="1" ht="20.100000000000001" customHeight="1">
      <c r="A11" s="298">
        <v>9</v>
      </c>
      <c r="B11" s="270">
        <v>3337018</v>
      </c>
      <c r="C11" s="268">
        <v>4562840</v>
      </c>
      <c r="D11" s="267">
        <v>7099942.0899999999</v>
      </c>
      <c r="E11" s="267">
        <f t="shared" si="2"/>
        <v>1225822</v>
      </c>
      <c r="F11" s="267">
        <f t="shared" si="2"/>
        <v>2537102.09</v>
      </c>
      <c r="G11" s="269">
        <f t="shared" si="3"/>
        <v>9.8843677875891767E-2</v>
      </c>
      <c r="H11" s="260">
        <f t="shared" si="4"/>
        <v>1008.2055143340961</v>
      </c>
      <c r="I11" s="295"/>
      <c r="J11" s="270"/>
      <c r="K11" s="267">
        <v>3997792</v>
      </c>
      <c r="L11" s="267">
        <v>6992590</v>
      </c>
      <c r="M11" s="268">
        <f t="shared" si="5"/>
        <v>2994798</v>
      </c>
      <c r="N11" s="269">
        <f t="shared" si="6"/>
        <v>0.10444106843345421</v>
      </c>
      <c r="O11" s="304">
        <f t="shared" si="7"/>
        <v>905.504063318048</v>
      </c>
      <c r="P11" s="299"/>
      <c r="Q11" s="271"/>
      <c r="R11" s="272">
        <f t="shared" si="0"/>
        <v>0.87616309140798276</v>
      </c>
      <c r="S11" s="272">
        <f t="shared" si="1"/>
        <v>0.9848798639990034</v>
      </c>
      <c r="T11" s="287">
        <f t="shared" si="8"/>
        <v>-5.5973905575624483E-3</v>
      </c>
      <c r="U11" s="306">
        <f t="shared" si="9"/>
        <v>102.70145101604805</v>
      </c>
    </row>
    <row r="12" spans="1:21" s="288" customFormat="1" ht="20.100000000000001" customHeight="1">
      <c r="A12" s="289">
        <v>10</v>
      </c>
      <c r="B12" s="277">
        <v>4053337</v>
      </c>
      <c r="C12" s="275">
        <v>6678927</v>
      </c>
      <c r="D12" s="275">
        <v>10538311.029999999</v>
      </c>
      <c r="E12" s="275">
        <f t="shared" si="2"/>
        <v>2625590</v>
      </c>
      <c r="F12" s="275">
        <f t="shared" si="2"/>
        <v>3859384.0299999993</v>
      </c>
      <c r="G12" s="276">
        <f t="shared" si="3"/>
        <v>0.14016599247225747</v>
      </c>
      <c r="H12" s="260">
        <f t="shared" si="4"/>
        <v>1429.6931232170261</v>
      </c>
      <c r="I12" s="295"/>
      <c r="J12" s="277"/>
      <c r="K12" s="275">
        <v>3594476</v>
      </c>
      <c r="L12" s="275">
        <v>5663200.1799999997</v>
      </c>
      <c r="M12" s="275">
        <f t="shared" si="5"/>
        <v>2068724.1799999997</v>
      </c>
      <c r="N12" s="290">
        <f t="shared" si="6"/>
        <v>8.7975248853965127E-2</v>
      </c>
      <c r="O12" s="304">
        <f t="shared" si="7"/>
        <v>762.74540756387762</v>
      </c>
      <c r="P12" s="299"/>
      <c r="Q12" s="278"/>
      <c r="R12" s="279">
        <f t="shared" si="0"/>
        <v>0.53818165702365062</v>
      </c>
      <c r="S12" s="279">
        <f t="shared" si="1"/>
        <v>0.53739163361930109</v>
      </c>
      <c r="T12" s="307">
        <f t="shared" si="8"/>
        <v>5.2190743618292346E-2</v>
      </c>
      <c r="U12" s="308">
        <f t="shared" si="9"/>
        <v>666.94771565314852</v>
      </c>
    </row>
    <row r="13" spans="1:21" s="5" customFormat="1" ht="20.100000000000001" customHeight="1">
      <c r="A13" s="298">
        <v>11</v>
      </c>
      <c r="B13" s="270">
        <v>3728954</v>
      </c>
      <c r="C13" s="268">
        <v>5308068</v>
      </c>
      <c r="D13" s="267">
        <v>8224756.6299999999</v>
      </c>
      <c r="E13" s="267">
        <f t="shared" si="2"/>
        <v>1579114</v>
      </c>
      <c r="F13" s="267">
        <f t="shared" si="2"/>
        <v>2916688.63</v>
      </c>
      <c r="G13" s="269">
        <f t="shared" si="3"/>
        <v>0.1137493617402385</v>
      </c>
      <c r="H13" s="260">
        <f t="shared" si="4"/>
        <v>1160.2434897504327</v>
      </c>
      <c r="I13" s="295"/>
      <c r="J13" s="270"/>
      <c r="K13" s="267">
        <v>5207059</v>
      </c>
      <c r="L13" s="267">
        <v>8483557</v>
      </c>
      <c r="M13" s="268">
        <f t="shared" si="5"/>
        <v>3276498</v>
      </c>
      <c r="N13" s="269">
        <f t="shared" si="6"/>
        <v>0.13010126149865794</v>
      </c>
      <c r="O13" s="304">
        <f t="shared" si="7"/>
        <v>1127.9779371933644</v>
      </c>
      <c r="P13" s="299"/>
      <c r="Q13" s="271"/>
      <c r="R13" s="272">
        <f t="shared" si="0"/>
        <v>0.98097066578649705</v>
      </c>
      <c r="S13" s="274">
        <f t="shared" si="1"/>
        <v>1.0314660216274387</v>
      </c>
      <c r="T13" s="287">
        <f t="shared" si="8"/>
        <v>-1.6351899758419441E-2</v>
      </c>
      <c r="U13" s="306">
        <f t="shared" si="9"/>
        <v>32.265552557068304</v>
      </c>
    </row>
    <row r="14" spans="1:21" s="5" customFormat="1" ht="20.100000000000001" customHeight="1">
      <c r="A14" s="4">
        <v>12</v>
      </c>
      <c r="B14" s="270">
        <v>3851463</v>
      </c>
      <c r="C14" s="268">
        <v>6368855</v>
      </c>
      <c r="D14" s="267">
        <v>9551818.8900000006</v>
      </c>
      <c r="E14" s="267">
        <f t="shared" si="2"/>
        <v>2517392</v>
      </c>
      <c r="F14" s="267">
        <f t="shared" si="2"/>
        <v>3182963.8900000006</v>
      </c>
      <c r="G14" s="269">
        <f t="shared" si="3"/>
        <v>0.13029178508693021</v>
      </c>
      <c r="H14" s="260">
        <f t="shared" si="4"/>
        <v>1328.9762078866881</v>
      </c>
      <c r="I14" s="295"/>
      <c r="J14" s="270"/>
      <c r="K14" s="267">
        <v>6327155</v>
      </c>
      <c r="L14" s="267">
        <v>6018678</v>
      </c>
      <c r="M14" s="273">
        <f t="shared" si="5"/>
        <v>-308477</v>
      </c>
      <c r="N14" s="269">
        <f t="shared" si="6"/>
        <v>0.11732185370999819</v>
      </c>
      <c r="O14" s="304">
        <f t="shared" si="7"/>
        <v>1017.1804716656843</v>
      </c>
      <c r="P14" s="299"/>
      <c r="Q14" s="271"/>
      <c r="R14" s="272">
        <f t="shared" si="0"/>
        <v>0.9934525122647635</v>
      </c>
      <c r="S14" s="272">
        <f t="shared" si="1"/>
        <v>0.63010805264545799</v>
      </c>
      <c r="T14" s="259">
        <f t="shared" si="8"/>
        <v>1.2969931376932017E-2</v>
      </c>
      <c r="U14" s="260">
        <f t="shared" si="9"/>
        <v>311.79573622100384</v>
      </c>
    </row>
    <row r="15" spans="1:21" s="5" customFormat="1" ht="20.100000000000001" customHeight="1" thickBot="1">
      <c r="A15" s="4" t="s">
        <v>294</v>
      </c>
      <c r="B15" s="281">
        <f>SUM(B3:B14)</f>
        <v>34257231</v>
      </c>
      <c r="C15" s="280">
        <f>SUM(C3:C14)</f>
        <v>47335530</v>
      </c>
      <c r="D15" s="261">
        <f>SUM(D3:D14)</f>
        <v>70159990.540000021</v>
      </c>
      <c r="E15" s="261">
        <f t="shared" si="2"/>
        <v>13078299</v>
      </c>
      <c r="F15" s="261">
        <f t="shared" si="2"/>
        <v>22824460.540000021</v>
      </c>
      <c r="G15" s="293">
        <f t="shared" si="3"/>
        <v>1</v>
      </c>
      <c r="H15" s="302">
        <f>SUM(H3:H14)</f>
        <v>10199.999999999998</v>
      </c>
      <c r="I15" s="288"/>
      <c r="J15" s="281"/>
      <c r="K15" s="261">
        <f>SUM(K3:K14)</f>
        <v>42395404</v>
      </c>
      <c r="L15" s="261">
        <f>SUM(L3:L14)</f>
        <v>62835059.120000005</v>
      </c>
      <c r="M15" s="261">
        <f t="shared" si="5"/>
        <v>20439655.120000005</v>
      </c>
      <c r="N15" s="293">
        <f t="shared" si="6"/>
        <v>1</v>
      </c>
      <c r="O15" s="305">
        <v>8670</v>
      </c>
      <c r="P15" s="299"/>
      <c r="Q15" s="282"/>
      <c r="R15" s="283">
        <f t="shared" si="0"/>
        <v>0.89563598421735213</v>
      </c>
      <c r="S15" s="283">
        <f t="shared" si="1"/>
        <v>0.89559674447470339</v>
      </c>
      <c r="T15" s="262">
        <f t="shared" si="8"/>
        <v>0</v>
      </c>
      <c r="U15" s="263">
        <f t="shared" si="9"/>
        <v>1529.9999999999982</v>
      </c>
    </row>
    <row r="16" spans="1:21" s="5" customFormat="1" ht="20.100000000000001" customHeight="1">
      <c r="A16" s="4"/>
      <c r="B16" s="291"/>
      <c r="C16" s="292"/>
      <c r="D16" s="291"/>
      <c r="E16" s="291"/>
      <c r="F16" s="291"/>
      <c r="G16" s="291"/>
      <c r="Q16" s="272"/>
      <c r="R16" s="272"/>
      <c r="S16" s="272"/>
    </row>
    <row r="17" spans="1:20" ht="20.100000000000001" customHeight="1">
      <c r="A17" s="4"/>
      <c r="B17" s="291"/>
      <c r="C17" s="292"/>
      <c r="D17" s="291"/>
      <c r="E17" s="291"/>
      <c r="F17" s="291"/>
      <c r="G17" s="291"/>
      <c r="H17" s="5"/>
      <c r="I17" s="5"/>
      <c r="J17" s="5"/>
      <c r="K17" s="5"/>
      <c r="L17" s="5"/>
      <c r="M17" s="5"/>
      <c r="N17" s="5"/>
      <c r="O17" s="5"/>
      <c r="P17" s="5"/>
      <c r="Q17" s="272"/>
      <c r="R17" s="272"/>
      <c r="S17" s="272"/>
      <c r="T17" s="5"/>
    </row>
    <row r="18" spans="1:20" ht="20.100000000000001" customHeight="1">
      <c r="A18" s="4"/>
      <c r="B18" s="291"/>
      <c r="C18" s="292"/>
      <c r="D18" s="291"/>
      <c r="E18" s="291"/>
      <c r="F18" s="291"/>
      <c r="G18" s="291"/>
      <c r="H18" s="5"/>
      <c r="I18" s="5"/>
      <c r="J18" s="5"/>
      <c r="K18" s="5"/>
      <c r="L18" s="5"/>
      <c r="M18" s="5"/>
      <c r="N18" s="5"/>
      <c r="O18" s="5"/>
      <c r="P18" s="5"/>
      <c r="Q18" s="272"/>
      <c r="R18" s="272"/>
      <c r="S18" s="272"/>
      <c r="T18" s="5"/>
    </row>
  </sheetData>
  <mergeCells count="4">
    <mergeCell ref="A1:A2"/>
    <mergeCell ref="Q1:U1"/>
    <mergeCell ref="J1:O1"/>
    <mergeCell ref="B1:H1"/>
  </mergeCells>
  <phoneticPr fontId="89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K24"/>
  <sheetViews>
    <sheetView workbookViewId="0">
      <selection activeCell="A25" sqref="A25"/>
    </sheetView>
  </sheetViews>
  <sheetFormatPr defaultRowHeight="13.5"/>
  <cols>
    <col min="1" max="11" width="9" style="265"/>
  </cols>
  <sheetData>
    <row r="2" spans="1:11">
      <c r="A2" s="264" t="s">
        <v>311</v>
      </c>
      <c r="B2" s="457" t="s">
        <v>312</v>
      </c>
      <c r="C2" s="457"/>
      <c r="D2" s="457"/>
      <c r="E2" s="457"/>
      <c r="F2" s="457"/>
      <c r="G2" s="457"/>
      <c r="H2" s="457"/>
      <c r="I2" s="457"/>
      <c r="J2" s="457"/>
      <c r="K2" s="457"/>
    </row>
    <row r="3" spans="1:11">
      <c r="B3" s="457" t="s">
        <v>313</v>
      </c>
      <c r="C3" s="457"/>
      <c r="D3" s="457"/>
      <c r="E3" s="457"/>
      <c r="F3" s="457"/>
      <c r="G3" s="457"/>
      <c r="H3" s="457"/>
      <c r="I3" s="457"/>
      <c r="J3" s="457"/>
      <c r="K3" s="457"/>
    </row>
    <row r="4" spans="1:11">
      <c r="B4" s="457" t="s">
        <v>314</v>
      </c>
      <c r="C4" s="457"/>
      <c r="D4" s="457"/>
      <c r="E4" s="457"/>
      <c r="F4" s="457"/>
      <c r="G4" s="457"/>
      <c r="H4" s="457"/>
      <c r="I4" s="457"/>
      <c r="J4" s="457"/>
      <c r="K4" s="457"/>
    </row>
    <row r="5" spans="1:11">
      <c r="B5" s="457" t="s">
        <v>315</v>
      </c>
      <c r="C5" s="457"/>
      <c r="D5" s="457"/>
      <c r="E5" s="457"/>
      <c r="F5" s="457"/>
      <c r="G5" s="457"/>
      <c r="H5" s="457"/>
      <c r="I5" s="457"/>
      <c r="J5" s="457"/>
      <c r="K5" s="457"/>
    </row>
    <row r="6" spans="1:11">
      <c r="B6" s="457" t="s">
        <v>316</v>
      </c>
      <c r="C6" s="457"/>
      <c r="D6" s="457"/>
      <c r="E6" s="457"/>
      <c r="F6" s="457"/>
      <c r="G6" s="457"/>
      <c r="H6" s="457"/>
      <c r="I6" s="457"/>
      <c r="J6" s="457"/>
      <c r="K6" s="457"/>
    </row>
    <row r="7" spans="1:11">
      <c r="B7" s="457" t="s">
        <v>339</v>
      </c>
      <c r="C7" s="457"/>
      <c r="D7" s="457"/>
      <c r="E7" s="457"/>
      <c r="F7" s="457"/>
      <c r="G7" s="457"/>
      <c r="H7" s="457"/>
      <c r="I7" s="457"/>
      <c r="J7" s="457"/>
      <c r="K7" s="457"/>
    </row>
    <row r="8" spans="1:11">
      <c r="B8" s="457"/>
      <c r="C8" s="457"/>
      <c r="D8" s="457"/>
      <c r="E8" s="457"/>
      <c r="F8" s="457"/>
      <c r="G8" s="457"/>
      <c r="H8" s="457"/>
      <c r="I8" s="457"/>
      <c r="J8" s="457"/>
      <c r="K8" s="457"/>
    </row>
    <row r="10" spans="1:11">
      <c r="A10" s="264" t="s">
        <v>317</v>
      </c>
      <c r="B10" s="457" t="s">
        <v>318</v>
      </c>
      <c r="C10" s="457"/>
      <c r="D10" s="457"/>
      <c r="E10" s="457"/>
      <c r="F10" s="457"/>
      <c r="G10" s="457"/>
      <c r="H10" s="457"/>
      <c r="I10" s="457"/>
      <c r="J10" s="457"/>
      <c r="K10" s="457"/>
    </row>
    <row r="11" spans="1:11">
      <c r="B11" s="457" t="s">
        <v>319</v>
      </c>
      <c r="C11" s="457"/>
      <c r="D11" s="457"/>
      <c r="E11" s="457"/>
      <c r="F11" s="457"/>
      <c r="G11" s="457"/>
      <c r="H11" s="457"/>
      <c r="I11" s="457"/>
      <c r="J11" s="457"/>
      <c r="K11" s="457"/>
    </row>
    <row r="12" spans="1:11">
      <c r="B12" s="457" t="s">
        <v>336</v>
      </c>
      <c r="C12" s="457"/>
      <c r="D12" s="457"/>
      <c r="E12" s="457"/>
      <c r="F12" s="457"/>
      <c r="G12" s="457"/>
      <c r="H12" s="457"/>
      <c r="I12" s="457"/>
      <c r="J12" s="457"/>
      <c r="K12" s="457"/>
    </row>
    <row r="13" spans="1:11">
      <c r="B13" s="457" t="s">
        <v>320</v>
      </c>
      <c r="C13" s="457"/>
      <c r="D13" s="457"/>
      <c r="E13" s="457"/>
      <c r="F13" s="457"/>
      <c r="G13" s="457"/>
      <c r="H13" s="457"/>
      <c r="I13" s="457"/>
      <c r="J13" s="457"/>
      <c r="K13" s="457"/>
    </row>
    <row r="14" spans="1:11">
      <c r="B14" s="457" t="s">
        <v>335</v>
      </c>
      <c r="C14" s="457"/>
      <c r="D14" s="457"/>
      <c r="E14" s="457"/>
      <c r="F14" s="457"/>
      <c r="G14" s="457"/>
      <c r="H14" s="457"/>
      <c r="I14" s="457"/>
      <c r="J14" s="457"/>
      <c r="K14" s="457"/>
    </row>
    <row r="16" spans="1:11">
      <c r="A16" s="264" t="s">
        <v>321</v>
      </c>
      <c r="B16" s="457" t="s">
        <v>322</v>
      </c>
      <c r="C16" s="457"/>
      <c r="D16" s="457"/>
      <c r="E16" s="457"/>
      <c r="F16" s="457"/>
      <c r="G16" s="457"/>
      <c r="H16" s="457"/>
      <c r="I16" s="457"/>
      <c r="J16" s="457"/>
      <c r="K16" s="457"/>
    </row>
    <row r="17" spans="1:11">
      <c r="B17" s="457" t="s">
        <v>434</v>
      </c>
      <c r="C17" s="457"/>
      <c r="D17" s="457"/>
      <c r="E17" s="457"/>
      <c r="F17" s="457"/>
      <c r="G17" s="457"/>
      <c r="H17" s="457"/>
      <c r="I17" s="457"/>
      <c r="J17" s="457"/>
      <c r="K17" s="457"/>
    </row>
    <row r="18" spans="1:11">
      <c r="B18" s="457" t="s">
        <v>337</v>
      </c>
      <c r="C18" s="457"/>
      <c r="D18" s="457"/>
      <c r="E18" s="457"/>
      <c r="F18" s="457"/>
      <c r="G18" s="457"/>
      <c r="H18" s="457"/>
      <c r="I18" s="457"/>
      <c r="J18" s="457"/>
      <c r="K18" s="457"/>
    </row>
    <row r="19" spans="1:11">
      <c r="B19" s="457" t="s">
        <v>435</v>
      </c>
      <c r="C19" s="457"/>
      <c r="D19" s="457"/>
      <c r="E19" s="457"/>
      <c r="F19" s="457"/>
      <c r="G19" s="457"/>
      <c r="H19" s="457"/>
      <c r="I19" s="457"/>
      <c r="J19" s="457"/>
      <c r="K19" s="457"/>
    </row>
    <row r="20" spans="1:11">
      <c r="B20" s="457" t="s">
        <v>338</v>
      </c>
      <c r="C20" s="457"/>
      <c r="D20" s="457"/>
      <c r="E20" s="457"/>
      <c r="F20" s="457"/>
      <c r="G20" s="457"/>
      <c r="H20" s="457"/>
      <c r="I20" s="457"/>
      <c r="J20" s="457"/>
      <c r="K20" s="457"/>
    </row>
    <row r="24" spans="1:11" ht="88.5" customHeight="1">
      <c r="A24" s="458" t="s">
        <v>436</v>
      </c>
      <c r="B24" s="458"/>
      <c r="C24" s="458"/>
      <c r="D24" s="458"/>
      <c r="E24" s="458"/>
      <c r="F24" s="458"/>
      <c r="G24" s="458"/>
      <c r="H24" s="458"/>
      <c r="I24" s="458"/>
      <c r="J24" s="458"/>
      <c r="K24" s="458"/>
    </row>
  </sheetData>
  <mergeCells count="18">
    <mergeCell ref="A24:K24"/>
    <mergeCell ref="B7:K7"/>
    <mergeCell ref="B20:K20"/>
    <mergeCell ref="B10:K10"/>
    <mergeCell ref="B8:K8"/>
    <mergeCell ref="B14:K14"/>
    <mergeCell ref="B16:K16"/>
    <mergeCell ref="B17:K17"/>
    <mergeCell ref="B18:K18"/>
    <mergeCell ref="B19:K19"/>
    <mergeCell ref="B2:K2"/>
    <mergeCell ref="B11:K11"/>
    <mergeCell ref="B12:K12"/>
    <mergeCell ref="B13:K13"/>
    <mergeCell ref="B3:K3"/>
    <mergeCell ref="B4:K4"/>
    <mergeCell ref="B5:K5"/>
    <mergeCell ref="B6:K6"/>
  </mergeCells>
  <phoneticPr fontId="8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activeCell="I16" sqref="I16"/>
    </sheetView>
  </sheetViews>
  <sheetFormatPr defaultColWidth="9" defaultRowHeight="13.5"/>
  <cols>
    <col min="4" max="4" width="50.875" customWidth="1"/>
  </cols>
  <sheetData>
    <row r="1" spans="1:5">
      <c r="A1" s="184"/>
      <c r="B1" s="184"/>
      <c r="C1" s="184"/>
      <c r="D1" s="184"/>
      <c r="E1" s="184"/>
    </row>
    <row r="2" spans="1:5" ht="15">
      <c r="A2" s="185" t="s">
        <v>7</v>
      </c>
      <c r="B2" s="186"/>
      <c r="C2" s="186"/>
      <c r="D2" s="186"/>
      <c r="E2" s="186"/>
    </row>
    <row r="3" spans="1:5">
      <c r="A3" s="184"/>
      <c r="B3" s="184"/>
      <c r="C3" s="184"/>
      <c r="D3" s="184"/>
      <c r="E3" s="187" t="s">
        <v>8</v>
      </c>
    </row>
    <row r="4" spans="1:5" ht="21.75" customHeight="1">
      <c r="A4" s="203" t="s">
        <v>9</v>
      </c>
      <c r="B4" s="188"/>
      <c r="C4" s="188"/>
      <c r="D4" s="188"/>
      <c r="E4" s="189"/>
    </row>
    <row r="5" spans="1:5" ht="15.75" customHeight="1">
      <c r="A5" s="362" t="s">
        <v>10</v>
      </c>
      <c r="B5" s="362"/>
      <c r="C5" s="362"/>
      <c r="D5" s="362"/>
      <c r="E5" s="189"/>
    </row>
    <row r="6" spans="1:5" ht="15.75" customHeight="1">
      <c r="A6" s="362" t="s">
        <v>11</v>
      </c>
      <c r="B6" s="362"/>
      <c r="C6" s="362"/>
      <c r="D6" s="362"/>
      <c r="E6" s="191"/>
    </row>
    <row r="7" spans="1:5" ht="15.75" customHeight="1">
      <c r="A7" s="363" t="s">
        <v>12</v>
      </c>
      <c r="B7" s="363"/>
      <c r="C7" s="363"/>
      <c r="D7" s="363"/>
      <c r="E7" s="191">
        <v>1</v>
      </c>
    </row>
    <row r="8" spans="1:5" ht="15.75" customHeight="1">
      <c r="A8" s="364" t="s">
        <v>356</v>
      </c>
      <c r="B8" s="363"/>
      <c r="C8" s="363"/>
      <c r="D8" s="363"/>
      <c r="E8" s="191">
        <v>2</v>
      </c>
    </row>
    <row r="9" spans="1:5" ht="15.75" customHeight="1">
      <c r="A9" s="363" t="s">
        <v>13</v>
      </c>
      <c r="B9" s="363"/>
      <c r="C9" s="363"/>
      <c r="D9" s="363"/>
      <c r="E9" s="191">
        <v>3</v>
      </c>
    </row>
    <row r="10" spans="1:5" ht="15.75" customHeight="1">
      <c r="A10" s="363" t="s">
        <v>14</v>
      </c>
      <c r="B10" s="363"/>
      <c r="C10" s="363"/>
      <c r="D10" s="363"/>
      <c r="E10" s="191">
        <v>4</v>
      </c>
    </row>
    <row r="11" spans="1:5" ht="15.75" customHeight="1">
      <c r="A11" s="363" t="s">
        <v>15</v>
      </c>
      <c r="B11" s="363"/>
      <c r="C11" s="363"/>
      <c r="D11" s="363"/>
      <c r="E11" s="191">
        <v>5</v>
      </c>
    </row>
    <row r="12" spans="1:5" ht="15.75" customHeight="1">
      <c r="E12" s="191"/>
    </row>
    <row r="13" spans="1:5" ht="15.75" customHeight="1">
      <c r="A13" s="362" t="s">
        <v>16</v>
      </c>
      <c r="B13" s="362"/>
      <c r="C13" s="362"/>
      <c r="D13" s="362"/>
      <c r="E13" s="191">
        <v>6</v>
      </c>
    </row>
    <row r="14" spans="1:5" ht="15.75" customHeight="1">
      <c r="A14" s="190"/>
      <c r="B14" s="190"/>
      <c r="C14" s="190"/>
      <c r="D14" s="190"/>
      <c r="E14" s="191"/>
    </row>
    <row r="15" spans="1:5" ht="15.75" customHeight="1">
      <c r="A15" s="366" t="s">
        <v>303</v>
      </c>
      <c r="B15" s="362"/>
      <c r="C15" s="362"/>
      <c r="D15" s="362"/>
      <c r="E15" s="191"/>
    </row>
    <row r="16" spans="1:5" ht="15.75" customHeight="1">
      <c r="A16" s="364" t="s">
        <v>304</v>
      </c>
      <c r="B16" s="364"/>
      <c r="C16" s="364"/>
      <c r="D16" s="364"/>
      <c r="E16" s="192">
        <v>7</v>
      </c>
    </row>
    <row r="17" spans="1:5" ht="18.75" customHeight="1">
      <c r="A17" s="364" t="s">
        <v>305</v>
      </c>
      <c r="B17" s="364"/>
      <c r="C17" s="364"/>
      <c r="D17" s="364"/>
      <c r="E17" s="192">
        <v>8</v>
      </c>
    </row>
    <row r="18" spans="1:5" ht="18.75" customHeight="1">
      <c r="A18" s="364" t="s">
        <v>306</v>
      </c>
      <c r="B18" s="364"/>
      <c r="C18" s="364"/>
      <c r="D18" s="364"/>
      <c r="E18" s="192">
        <v>9</v>
      </c>
    </row>
    <row r="19" spans="1:5" ht="18.75" customHeight="1">
      <c r="A19" s="364" t="s">
        <v>307</v>
      </c>
      <c r="B19" s="364"/>
      <c r="C19" s="364"/>
      <c r="D19" s="364"/>
      <c r="E19" s="192">
        <v>10</v>
      </c>
    </row>
    <row r="20" spans="1:5" ht="18.75" customHeight="1">
      <c r="A20" s="364" t="s">
        <v>308</v>
      </c>
      <c r="B20" s="364"/>
      <c r="C20" s="364"/>
      <c r="D20" s="364"/>
      <c r="E20" s="192">
        <v>11</v>
      </c>
    </row>
    <row r="21" spans="1:5" ht="18.75" customHeight="1">
      <c r="A21" s="311"/>
      <c r="B21" s="311"/>
      <c r="C21" s="311"/>
      <c r="D21" s="311"/>
      <c r="E21" s="192"/>
    </row>
    <row r="22" spans="1:5" ht="18.75" customHeight="1">
      <c r="A22" s="364" t="s">
        <v>310</v>
      </c>
      <c r="B22" s="364"/>
      <c r="C22" s="364"/>
      <c r="D22" s="364"/>
      <c r="E22" s="192">
        <v>12</v>
      </c>
    </row>
    <row r="23" spans="1:5" ht="18.75" customHeight="1">
      <c r="A23" s="312"/>
      <c r="B23" s="312"/>
      <c r="C23" s="312"/>
      <c r="D23" s="312"/>
      <c r="E23" s="192"/>
    </row>
    <row r="24" spans="1:5" ht="21" customHeight="1">
      <c r="A24" s="365" t="s">
        <v>17</v>
      </c>
      <c r="B24" s="365"/>
      <c r="C24" s="365"/>
      <c r="D24" s="365"/>
      <c r="E24" s="189"/>
    </row>
    <row r="25" spans="1:5" ht="21" customHeight="1">
      <c r="A25" s="367" t="s">
        <v>18</v>
      </c>
      <c r="B25" s="367"/>
      <c r="C25" s="367"/>
      <c r="D25" s="367"/>
      <c r="E25" s="189"/>
    </row>
    <row r="26" spans="1:5" ht="21" customHeight="1">
      <c r="A26" s="367" t="s">
        <v>19</v>
      </c>
      <c r="B26" s="367"/>
      <c r="C26" s="367"/>
      <c r="D26" s="367"/>
      <c r="E26" s="189"/>
    </row>
    <row r="27" spans="1:5" ht="21" customHeight="1">
      <c r="A27" s="367" t="s">
        <v>255</v>
      </c>
      <c r="B27" s="367"/>
      <c r="C27" s="367"/>
      <c r="D27" s="367"/>
      <c r="E27" s="189"/>
    </row>
    <row r="28" spans="1:5" ht="23.25" customHeight="1">
      <c r="A28" s="367" t="s">
        <v>256</v>
      </c>
      <c r="B28" s="367"/>
      <c r="C28" s="367"/>
      <c r="D28" s="367"/>
      <c r="E28" s="189"/>
    </row>
    <row r="29" spans="1:5" ht="24" customHeight="1">
      <c r="A29" s="367" t="s">
        <v>257</v>
      </c>
      <c r="B29" s="367"/>
      <c r="C29" s="367"/>
      <c r="D29" s="367"/>
    </row>
    <row r="30" spans="1:5" ht="24" customHeight="1">
      <c r="A30" s="367" t="s">
        <v>258</v>
      </c>
      <c r="B30" s="367"/>
      <c r="C30" s="367"/>
      <c r="D30" s="367"/>
    </row>
    <row r="31" spans="1:5" ht="24" customHeight="1">
      <c r="A31" s="369" t="s">
        <v>309</v>
      </c>
      <c r="B31" s="367"/>
      <c r="C31" s="367"/>
      <c r="D31" s="367"/>
    </row>
    <row r="32" spans="1:5" ht="24" customHeight="1">
      <c r="A32" s="367"/>
      <c r="B32" s="367"/>
      <c r="C32" s="367"/>
      <c r="D32" s="367"/>
    </row>
    <row r="33" spans="1:4" ht="24" customHeight="1">
      <c r="A33" s="367"/>
      <c r="B33" s="367"/>
      <c r="C33" s="367"/>
      <c r="D33" s="367"/>
    </row>
    <row r="34" spans="1:4">
      <c r="A34" s="368"/>
      <c r="B34" s="368"/>
      <c r="C34" s="368"/>
      <c r="D34" s="368"/>
    </row>
    <row r="35" spans="1:4">
      <c r="A35" s="368"/>
      <c r="B35" s="368"/>
      <c r="C35" s="368"/>
      <c r="D35" s="368"/>
    </row>
    <row r="36" spans="1:4">
      <c r="A36" s="15"/>
      <c r="B36" s="15"/>
      <c r="C36" s="15"/>
      <c r="D36" s="15"/>
    </row>
    <row r="37" spans="1:4">
      <c r="A37" s="15"/>
      <c r="B37" s="15"/>
      <c r="C37" s="15"/>
      <c r="D37" s="15"/>
    </row>
    <row r="38" spans="1:4">
      <c r="A38" s="15"/>
      <c r="B38" s="15"/>
      <c r="C38" s="15"/>
      <c r="D38" s="15"/>
    </row>
    <row r="39" spans="1:4">
      <c r="A39" s="15"/>
      <c r="B39" s="15"/>
      <c r="C39" s="15"/>
      <c r="D39" s="15"/>
    </row>
    <row r="40" spans="1:4">
      <c r="A40" s="15"/>
      <c r="B40" s="15"/>
      <c r="C40" s="15"/>
      <c r="D40" s="15"/>
    </row>
  </sheetData>
  <mergeCells count="27">
    <mergeCell ref="A35:D35"/>
    <mergeCell ref="A30:D30"/>
    <mergeCell ref="A31:D31"/>
    <mergeCell ref="A32:D32"/>
    <mergeCell ref="A33:D33"/>
    <mergeCell ref="A34:D34"/>
    <mergeCell ref="A25:D25"/>
    <mergeCell ref="A26:D26"/>
    <mergeCell ref="A27:D27"/>
    <mergeCell ref="A28:D28"/>
    <mergeCell ref="A29:D29"/>
    <mergeCell ref="A11:D11"/>
    <mergeCell ref="A13:D13"/>
    <mergeCell ref="A16:D16"/>
    <mergeCell ref="A17:D17"/>
    <mergeCell ref="A24:D24"/>
    <mergeCell ref="A18:D18"/>
    <mergeCell ref="A19:D19"/>
    <mergeCell ref="A20:D20"/>
    <mergeCell ref="A15:D15"/>
    <mergeCell ref="A22:D22"/>
    <mergeCell ref="A5:D5"/>
    <mergeCell ref="A6:D6"/>
    <mergeCell ref="A7:D7"/>
    <mergeCell ref="A9:D9"/>
    <mergeCell ref="A10:D10"/>
    <mergeCell ref="A8:D8"/>
  </mergeCells>
  <phoneticPr fontId="7" type="noConversion"/>
  <pageMargins left="0.69930555555555596" right="0.69930555555555596" top="0.75" bottom="0.75" header="0.3" footer="0.3"/>
  <pageSetup paperSize="9" orientation="portrait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7"/>
  <sheetViews>
    <sheetView workbookViewId="0">
      <selection activeCell="R20" sqref="R20"/>
    </sheetView>
  </sheetViews>
  <sheetFormatPr defaultColWidth="9" defaultRowHeight="11.25"/>
  <cols>
    <col min="1" max="1" width="17.875" style="6" customWidth="1"/>
    <col min="2" max="2" width="11.375" style="143" customWidth="1"/>
    <col min="3" max="8" width="11.5" style="6" customWidth="1"/>
    <col min="9" max="11" width="9.25" style="6" customWidth="1"/>
    <col min="12" max="12" width="11.25" style="6" customWidth="1"/>
    <col min="13" max="14" width="9.25" style="6" customWidth="1"/>
    <col min="15" max="15" width="12.625" style="6" customWidth="1"/>
    <col min="16" max="16384" width="9" style="6"/>
  </cols>
  <sheetData>
    <row r="1" spans="1:20" ht="19.5" customHeight="1">
      <c r="A1" s="370" t="s">
        <v>20</v>
      </c>
      <c r="B1" s="370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</row>
    <row r="2" spans="1:20" ht="18.75" customHeight="1">
      <c r="A2" s="372" t="s">
        <v>21</v>
      </c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</row>
    <row r="3" spans="1:20" ht="18.75" customHeight="1">
      <c r="A3" s="144" t="s">
        <v>22</v>
      </c>
      <c r="B3" s="379" t="s">
        <v>23</v>
      </c>
      <c r="C3" s="145" t="s">
        <v>24</v>
      </c>
      <c r="D3" s="145" t="s">
        <v>25</v>
      </c>
      <c r="E3" s="145" t="s">
        <v>26</v>
      </c>
      <c r="F3" s="145" t="s">
        <v>27</v>
      </c>
      <c r="G3" s="145" t="s">
        <v>28</v>
      </c>
      <c r="H3" s="145" t="s">
        <v>29</v>
      </c>
      <c r="I3" s="145" t="s">
        <v>30</v>
      </c>
      <c r="J3" s="145" t="s">
        <v>31</v>
      </c>
      <c r="K3" s="145" t="s">
        <v>32</v>
      </c>
      <c r="L3" s="145" t="s">
        <v>33</v>
      </c>
      <c r="M3" s="145" t="s">
        <v>34</v>
      </c>
      <c r="N3" s="145" t="s">
        <v>35</v>
      </c>
      <c r="O3" s="170" t="s">
        <v>36</v>
      </c>
      <c r="P3" s="381" t="s">
        <v>37</v>
      </c>
    </row>
    <row r="4" spans="1:20" ht="18.75" customHeight="1">
      <c r="A4" s="146" t="s">
        <v>38</v>
      </c>
      <c r="B4" s="380"/>
      <c r="C4" s="147" t="s">
        <v>39</v>
      </c>
      <c r="D4" s="147" t="s">
        <v>40</v>
      </c>
      <c r="E4" s="147" t="s">
        <v>41</v>
      </c>
      <c r="F4" s="147" t="s">
        <v>42</v>
      </c>
      <c r="G4" s="147" t="s">
        <v>43</v>
      </c>
      <c r="H4" s="147" t="s">
        <v>44</v>
      </c>
      <c r="I4" s="147" t="s">
        <v>45</v>
      </c>
      <c r="J4" s="147" t="s">
        <v>46</v>
      </c>
      <c r="K4" s="147" t="s">
        <v>47</v>
      </c>
      <c r="L4" s="147" t="s">
        <v>48</v>
      </c>
      <c r="M4" s="147" t="s">
        <v>49</v>
      </c>
      <c r="N4" s="147" t="s">
        <v>50</v>
      </c>
      <c r="O4" s="147" t="s">
        <v>51</v>
      </c>
      <c r="P4" s="382"/>
    </row>
    <row r="5" spans="1:20" ht="18" customHeight="1">
      <c r="A5" s="374" t="s">
        <v>52</v>
      </c>
      <c r="B5" s="148">
        <v>2016</v>
      </c>
      <c r="C5" s="149">
        <v>7</v>
      </c>
      <c r="D5" s="149">
        <v>7</v>
      </c>
      <c r="E5" s="149">
        <v>7</v>
      </c>
      <c r="F5" s="149">
        <v>7</v>
      </c>
      <c r="G5" s="149">
        <v>7</v>
      </c>
      <c r="H5" s="149">
        <v>6</v>
      </c>
      <c r="I5" s="149">
        <v>4</v>
      </c>
      <c r="J5" s="149">
        <v>4</v>
      </c>
      <c r="K5" s="149">
        <v>4</v>
      </c>
      <c r="L5" s="149">
        <v>4</v>
      </c>
      <c r="M5" s="149">
        <v>4</v>
      </c>
      <c r="N5" s="149">
        <v>4</v>
      </c>
      <c r="O5" s="171">
        <f t="shared" ref="O5:O12" si="0">SUM(C5:N5)</f>
        <v>65</v>
      </c>
      <c r="P5" s="172">
        <f t="shared" ref="P5:P14" si="1">O5/12</f>
        <v>5.416666666666667</v>
      </c>
    </row>
    <row r="6" spans="1:20" s="142" customFormat="1" ht="18" customHeight="1">
      <c r="A6" s="375"/>
      <c r="B6" s="150">
        <v>2017</v>
      </c>
      <c r="C6" s="151">
        <v>6</v>
      </c>
      <c r="D6" s="151">
        <v>6</v>
      </c>
      <c r="E6" s="151">
        <v>6</v>
      </c>
      <c r="F6" s="151">
        <v>6</v>
      </c>
      <c r="G6" s="151">
        <v>7</v>
      </c>
      <c r="H6" s="151">
        <v>7</v>
      </c>
      <c r="I6" s="151">
        <v>7</v>
      </c>
      <c r="J6" s="151">
        <v>7</v>
      </c>
      <c r="K6" s="151">
        <v>7</v>
      </c>
      <c r="L6" s="151">
        <v>7</v>
      </c>
      <c r="M6" s="151">
        <v>7</v>
      </c>
      <c r="N6" s="151">
        <v>6</v>
      </c>
      <c r="O6" s="173">
        <f t="shared" si="0"/>
        <v>79</v>
      </c>
      <c r="P6" s="174">
        <f t="shared" si="1"/>
        <v>6.583333333333333</v>
      </c>
    </row>
    <row r="7" spans="1:20" ht="18" customHeight="1">
      <c r="A7" s="375" t="s">
        <v>53</v>
      </c>
      <c r="B7" s="148">
        <v>2016</v>
      </c>
      <c r="C7" s="149">
        <v>28</v>
      </c>
      <c r="D7" s="149">
        <v>28</v>
      </c>
      <c r="E7" s="149">
        <v>27</v>
      </c>
      <c r="F7" s="149">
        <v>31</v>
      </c>
      <c r="G7" s="149">
        <v>31</v>
      </c>
      <c r="H7" s="149">
        <v>30</v>
      </c>
      <c r="I7" s="149">
        <v>31</v>
      </c>
      <c r="J7" s="149">
        <v>30</v>
      </c>
      <c r="K7" s="149">
        <v>32</v>
      </c>
      <c r="L7" s="149">
        <v>31</v>
      </c>
      <c r="M7" s="149">
        <v>31</v>
      </c>
      <c r="N7" s="149">
        <v>36</v>
      </c>
      <c r="O7" s="171">
        <f t="shared" si="0"/>
        <v>366</v>
      </c>
      <c r="P7" s="172">
        <f t="shared" si="1"/>
        <v>30.5</v>
      </c>
    </row>
    <row r="8" spans="1:20" s="142" customFormat="1" ht="18" customHeight="1">
      <c r="A8" s="375"/>
      <c r="B8" s="150">
        <v>2017</v>
      </c>
      <c r="C8" s="151">
        <v>37</v>
      </c>
      <c r="D8" s="151">
        <v>39</v>
      </c>
      <c r="E8" s="151">
        <v>39</v>
      </c>
      <c r="F8" s="151">
        <v>41</v>
      </c>
      <c r="G8" s="151">
        <v>41</v>
      </c>
      <c r="H8" s="151">
        <v>41</v>
      </c>
      <c r="I8" s="151">
        <v>42</v>
      </c>
      <c r="J8" s="151">
        <v>41</v>
      </c>
      <c r="K8" s="151">
        <v>50</v>
      </c>
      <c r="L8" s="151">
        <v>51</v>
      </c>
      <c r="M8" s="151">
        <v>52</v>
      </c>
      <c r="N8" s="151">
        <v>62</v>
      </c>
      <c r="O8" s="173">
        <f t="shared" si="0"/>
        <v>536</v>
      </c>
      <c r="P8" s="174">
        <f t="shared" si="1"/>
        <v>44.666666666666664</v>
      </c>
    </row>
    <row r="9" spans="1:20" ht="18" customHeight="1">
      <c r="A9" s="375" t="s">
        <v>54</v>
      </c>
      <c r="B9" s="148">
        <v>2016</v>
      </c>
      <c r="C9" s="149">
        <v>5</v>
      </c>
      <c r="D9" s="149">
        <v>5</v>
      </c>
      <c r="E9" s="149">
        <v>5</v>
      </c>
      <c r="F9" s="149">
        <v>4</v>
      </c>
      <c r="G9" s="149">
        <v>4</v>
      </c>
      <c r="H9" s="149">
        <v>4</v>
      </c>
      <c r="I9" s="149">
        <v>4</v>
      </c>
      <c r="J9" s="149">
        <v>4</v>
      </c>
      <c r="K9" s="149">
        <v>4</v>
      </c>
      <c r="L9" s="149">
        <v>4</v>
      </c>
      <c r="M9" s="149">
        <v>4</v>
      </c>
      <c r="N9" s="149">
        <v>4</v>
      </c>
      <c r="O9" s="171">
        <f t="shared" si="0"/>
        <v>51</v>
      </c>
      <c r="P9" s="172">
        <f t="shared" si="1"/>
        <v>4.25</v>
      </c>
    </row>
    <row r="10" spans="1:20" ht="18" customHeight="1">
      <c r="A10" s="375"/>
      <c r="B10" s="150">
        <v>2017</v>
      </c>
      <c r="C10" s="151">
        <v>4</v>
      </c>
      <c r="D10" s="151">
        <v>4</v>
      </c>
      <c r="E10" s="151">
        <v>4</v>
      </c>
      <c r="F10" s="151">
        <v>2</v>
      </c>
      <c r="G10" s="151">
        <v>2</v>
      </c>
      <c r="H10" s="151">
        <v>2</v>
      </c>
      <c r="I10" s="151">
        <v>2</v>
      </c>
      <c r="J10" s="151">
        <v>2</v>
      </c>
      <c r="K10" s="151">
        <v>2</v>
      </c>
      <c r="L10" s="151">
        <v>2</v>
      </c>
      <c r="M10" s="151">
        <v>2</v>
      </c>
      <c r="N10" s="151">
        <v>2</v>
      </c>
      <c r="O10" s="173">
        <f t="shared" si="0"/>
        <v>30</v>
      </c>
      <c r="P10" s="175">
        <f t="shared" si="1"/>
        <v>2.5</v>
      </c>
    </row>
    <row r="11" spans="1:20" ht="18" customHeight="1">
      <c r="A11" s="375" t="s">
        <v>55</v>
      </c>
      <c r="B11" s="148">
        <v>2016</v>
      </c>
      <c r="C11" s="152">
        <v>3</v>
      </c>
      <c r="D11" s="152">
        <v>1</v>
      </c>
      <c r="E11" s="152">
        <v>3</v>
      </c>
      <c r="F11" s="152">
        <v>3</v>
      </c>
      <c r="G11" s="152">
        <v>3</v>
      </c>
      <c r="H11" s="152">
        <v>2</v>
      </c>
      <c r="I11" s="152">
        <v>1</v>
      </c>
      <c r="J11" s="152">
        <v>2</v>
      </c>
      <c r="K11" s="152">
        <v>4</v>
      </c>
      <c r="L11" s="152">
        <v>5</v>
      </c>
      <c r="M11" s="152">
        <v>4</v>
      </c>
      <c r="N11" s="152">
        <v>2</v>
      </c>
      <c r="O11" s="171">
        <f t="shared" si="0"/>
        <v>33</v>
      </c>
      <c r="P11" s="172">
        <f t="shared" si="1"/>
        <v>2.75</v>
      </c>
    </row>
    <row r="12" spans="1:20" s="142" customFormat="1" ht="18" customHeight="1">
      <c r="A12" s="375"/>
      <c r="B12" s="150">
        <v>2017</v>
      </c>
      <c r="C12" s="153">
        <v>3</v>
      </c>
      <c r="D12" s="153">
        <v>2</v>
      </c>
      <c r="E12" s="153">
        <v>2</v>
      </c>
      <c r="F12" s="153">
        <v>5</v>
      </c>
      <c r="G12" s="153">
        <v>6</v>
      </c>
      <c r="H12" s="153">
        <v>3</v>
      </c>
      <c r="I12" s="153">
        <v>2</v>
      </c>
      <c r="J12" s="153">
        <v>3</v>
      </c>
      <c r="K12" s="153">
        <v>5</v>
      </c>
      <c r="L12" s="153">
        <v>6</v>
      </c>
      <c r="M12" s="153">
        <v>5</v>
      </c>
      <c r="N12" s="153">
        <v>3</v>
      </c>
      <c r="O12" s="173">
        <f t="shared" si="0"/>
        <v>45</v>
      </c>
      <c r="P12" s="174">
        <f t="shared" si="1"/>
        <v>3.75</v>
      </c>
    </row>
    <row r="13" spans="1:20" ht="18" customHeight="1">
      <c r="A13" s="375" t="s">
        <v>56</v>
      </c>
      <c r="B13" s="148">
        <v>2016</v>
      </c>
      <c r="C13" s="154">
        <f>C5+C7+C9+C11</f>
        <v>43</v>
      </c>
      <c r="D13" s="154">
        <f t="shared" ref="D13:N13" si="2">D5+D7+D9+D11</f>
        <v>41</v>
      </c>
      <c r="E13" s="154">
        <f t="shared" si="2"/>
        <v>42</v>
      </c>
      <c r="F13" s="154">
        <f t="shared" si="2"/>
        <v>45</v>
      </c>
      <c r="G13" s="154">
        <f t="shared" si="2"/>
        <v>45</v>
      </c>
      <c r="H13" s="154">
        <f t="shared" si="2"/>
        <v>42</v>
      </c>
      <c r="I13" s="154">
        <f t="shared" si="2"/>
        <v>40</v>
      </c>
      <c r="J13" s="154">
        <f t="shared" si="2"/>
        <v>40</v>
      </c>
      <c r="K13" s="154">
        <f t="shared" si="2"/>
        <v>44</v>
      </c>
      <c r="L13" s="154">
        <f t="shared" si="2"/>
        <v>44</v>
      </c>
      <c r="M13" s="154">
        <f t="shared" si="2"/>
        <v>43</v>
      </c>
      <c r="N13" s="154">
        <f t="shared" si="2"/>
        <v>46</v>
      </c>
      <c r="O13" s="176">
        <f t="shared" ref="O13:O14" si="3">O5+O7+O9+O11</f>
        <v>515</v>
      </c>
      <c r="P13" s="318">
        <f t="shared" si="1"/>
        <v>42.916666666666664</v>
      </c>
    </row>
    <row r="14" spans="1:20" s="142" customFormat="1" ht="18" customHeight="1">
      <c r="A14" s="376"/>
      <c r="B14" s="155">
        <v>2017</v>
      </c>
      <c r="C14" s="154">
        <f t="shared" ref="C14:N14" si="4">C6+C8+C10+C12</f>
        <v>50</v>
      </c>
      <c r="D14" s="154">
        <f t="shared" si="4"/>
        <v>51</v>
      </c>
      <c r="E14" s="154">
        <f t="shared" si="4"/>
        <v>51</v>
      </c>
      <c r="F14" s="154">
        <f t="shared" si="4"/>
        <v>54</v>
      </c>
      <c r="G14" s="154">
        <f t="shared" si="4"/>
        <v>56</v>
      </c>
      <c r="H14" s="154">
        <f t="shared" si="4"/>
        <v>53</v>
      </c>
      <c r="I14" s="154">
        <f t="shared" si="4"/>
        <v>53</v>
      </c>
      <c r="J14" s="154">
        <f t="shared" si="4"/>
        <v>53</v>
      </c>
      <c r="K14" s="154">
        <f t="shared" si="4"/>
        <v>64</v>
      </c>
      <c r="L14" s="154">
        <f t="shared" si="4"/>
        <v>66</v>
      </c>
      <c r="M14" s="154">
        <f t="shared" si="4"/>
        <v>66</v>
      </c>
      <c r="N14" s="154">
        <f t="shared" si="4"/>
        <v>73</v>
      </c>
      <c r="O14" s="177">
        <f t="shared" si="3"/>
        <v>690</v>
      </c>
      <c r="P14" s="319">
        <f t="shared" si="1"/>
        <v>57.5</v>
      </c>
      <c r="T14" s="149"/>
    </row>
    <row r="15" spans="1:20" s="142" customFormat="1" ht="18" customHeight="1">
      <c r="A15" s="375" t="s">
        <v>57</v>
      </c>
      <c r="B15" s="148">
        <v>2016</v>
      </c>
      <c r="C15" s="156">
        <v>595400</v>
      </c>
      <c r="D15" s="156">
        <v>382709</v>
      </c>
      <c r="E15" s="156">
        <v>246670</v>
      </c>
      <c r="F15" s="156">
        <v>159728</v>
      </c>
      <c r="G15" s="156">
        <v>178917</v>
      </c>
      <c r="H15" s="156">
        <v>224659</v>
      </c>
      <c r="I15" s="156">
        <v>203238</v>
      </c>
      <c r="J15" s="156">
        <v>199670</v>
      </c>
      <c r="K15" s="156">
        <v>206107</v>
      </c>
      <c r="L15" s="156">
        <v>312790</v>
      </c>
      <c r="M15" s="156">
        <v>259192</v>
      </c>
      <c r="N15" s="156">
        <v>311500</v>
      </c>
      <c r="O15" s="178">
        <f>SUM(C15:N15)</f>
        <v>3280580</v>
      </c>
      <c r="P15" s="179"/>
    </row>
    <row r="16" spans="1:20" s="142" customFormat="1" ht="18" customHeight="1">
      <c r="A16" s="375"/>
      <c r="B16" s="150">
        <v>2017</v>
      </c>
      <c r="C16" s="157">
        <v>608364.87</v>
      </c>
      <c r="D16" s="157">
        <v>239818.52</v>
      </c>
      <c r="E16" s="157">
        <v>254312.25</v>
      </c>
      <c r="F16" s="157">
        <v>264321.21000000002</v>
      </c>
      <c r="G16" s="157">
        <v>261524.81</v>
      </c>
      <c r="H16" s="157">
        <v>255620.11</v>
      </c>
      <c r="I16" s="157">
        <v>558025.97</v>
      </c>
      <c r="J16" s="157">
        <v>488360.18</v>
      </c>
      <c r="K16" s="157">
        <v>354129.97</v>
      </c>
      <c r="L16" s="157">
        <v>651112.44999999995</v>
      </c>
      <c r="M16" s="157">
        <v>543812.18999999994</v>
      </c>
      <c r="N16" s="157">
        <v>672121.15</v>
      </c>
      <c r="O16" s="180">
        <f>SUM(C16:N16)</f>
        <v>5151523.6800000016</v>
      </c>
      <c r="P16" s="329">
        <f>(O16-O15)/O15</f>
        <v>0.57030881124679222</v>
      </c>
    </row>
    <row r="17" spans="1:16" s="142" customFormat="1" ht="18" customHeight="1">
      <c r="A17" s="375" t="s">
        <v>58</v>
      </c>
      <c r="B17" s="148">
        <v>2016</v>
      </c>
      <c r="C17" s="156">
        <v>4196493</v>
      </c>
      <c r="D17" s="156">
        <v>3040050</v>
      </c>
      <c r="E17" s="156">
        <v>2011729</v>
      </c>
      <c r="F17" s="156">
        <v>2048033</v>
      </c>
      <c r="G17" s="156">
        <v>2155203</v>
      </c>
      <c r="H17" s="156">
        <v>2171968</v>
      </c>
      <c r="I17" s="156">
        <v>2176800</v>
      </c>
      <c r="J17" s="156">
        <v>3071307</v>
      </c>
      <c r="K17" s="156">
        <v>4122843</v>
      </c>
      <c r="L17" s="156">
        <v>6054025</v>
      </c>
      <c r="M17" s="156">
        <v>4783850</v>
      </c>
      <c r="N17" s="156">
        <v>5672363</v>
      </c>
      <c r="O17" s="178">
        <f t="shared" ref="O17:O24" si="5">SUM(C17:N17)</f>
        <v>41504664</v>
      </c>
      <c r="P17" s="179"/>
    </row>
    <row r="18" spans="1:16" s="142" customFormat="1" ht="18" customHeight="1">
      <c r="A18" s="375"/>
      <c r="B18" s="150">
        <v>2017</v>
      </c>
      <c r="C18" s="158">
        <v>6690145.1100000003</v>
      </c>
      <c r="D18" s="158">
        <v>2952680.51</v>
      </c>
      <c r="E18" s="158">
        <v>3481927.67</v>
      </c>
      <c r="F18" s="158">
        <v>3659677.94</v>
      </c>
      <c r="G18" s="158">
        <v>3546133.23</v>
      </c>
      <c r="H18" s="158">
        <v>2752216.12</v>
      </c>
      <c r="I18" s="158">
        <v>3495031.8</v>
      </c>
      <c r="J18" s="158">
        <v>4000265.95</v>
      </c>
      <c r="K18" s="158">
        <v>6629089.46</v>
      </c>
      <c r="L18" s="158">
        <v>9426951.8800000008</v>
      </c>
      <c r="M18" s="158">
        <v>7334980.4000000004</v>
      </c>
      <c r="N18" s="158">
        <v>8773527.5600000005</v>
      </c>
      <c r="O18" s="181">
        <f t="shared" si="5"/>
        <v>62742627.630000003</v>
      </c>
      <c r="P18" s="329">
        <f>(O18-O17)/O17</f>
        <v>0.51170065200383275</v>
      </c>
    </row>
    <row r="19" spans="1:16" s="142" customFormat="1" ht="18" customHeight="1">
      <c r="A19" s="375" t="s">
        <v>59</v>
      </c>
      <c r="B19" s="148">
        <v>2016</v>
      </c>
      <c r="C19" s="159">
        <v>169648</v>
      </c>
      <c r="D19" s="159">
        <v>111640</v>
      </c>
      <c r="E19" s="159">
        <v>23766</v>
      </c>
      <c r="F19" s="159">
        <v>44804</v>
      </c>
      <c r="G19" s="159">
        <v>37507</v>
      </c>
      <c r="H19" s="159">
        <v>65942</v>
      </c>
      <c r="I19" s="159">
        <v>40327</v>
      </c>
      <c r="J19" s="159">
        <v>65242</v>
      </c>
      <c r="K19" s="159">
        <v>59538</v>
      </c>
      <c r="L19" s="159">
        <v>66504</v>
      </c>
      <c r="M19" s="159">
        <v>62345</v>
      </c>
      <c r="N19" s="159">
        <v>196618</v>
      </c>
      <c r="O19" s="178">
        <f t="shared" si="5"/>
        <v>943881</v>
      </c>
      <c r="P19" s="179"/>
    </row>
    <row r="20" spans="1:16" s="142" customFormat="1" ht="18" customHeight="1">
      <c r="A20" s="375"/>
      <c r="B20" s="150">
        <v>2017</v>
      </c>
      <c r="C20" s="157">
        <v>165922</v>
      </c>
      <c r="D20" s="157">
        <v>34706</v>
      </c>
      <c r="E20" s="157">
        <v>51734</v>
      </c>
      <c r="F20" s="157">
        <v>38513</v>
      </c>
      <c r="G20" s="157">
        <v>48693</v>
      </c>
      <c r="H20" s="157">
        <v>39197</v>
      </c>
      <c r="I20" s="157">
        <v>48392</v>
      </c>
      <c r="J20" s="157">
        <v>51348</v>
      </c>
      <c r="K20" s="157">
        <v>40582</v>
      </c>
      <c r="L20" s="157">
        <v>69187</v>
      </c>
      <c r="M20" s="157">
        <v>33552.9</v>
      </c>
      <c r="N20" s="157">
        <v>64708.2</v>
      </c>
      <c r="O20" s="181">
        <f t="shared" si="5"/>
        <v>686535.1</v>
      </c>
      <c r="P20" s="329">
        <f>(O20-O19)/O19</f>
        <v>-0.27264655184287007</v>
      </c>
    </row>
    <row r="21" spans="1:16" s="142" customFormat="1" ht="18" customHeight="1">
      <c r="A21" s="375" t="s">
        <v>60</v>
      </c>
      <c r="B21" s="148">
        <v>2016</v>
      </c>
      <c r="C21" s="160">
        <v>100029</v>
      </c>
      <c r="D21" s="160">
        <v>51967</v>
      </c>
      <c r="E21" s="160">
        <v>80192</v>
      </c>
      <c r="F21" s="160">
        <v>59217</v>
      </c>
      <c r="G21" s="160">
        <v>150682</v>
      </c>
      <c r="H21" s="160">
        <v>34081</v>
      </c>
      <c r="I21" s="160">
        <v>2852</v>
      </c>
      <c r="J21" s="160">
        <v>316370</v>
      </c>
      <c r="K21" s="160">
        <v>174352</v>
      </c>
      <c r="L21" s="160">
        <v>245608</v>
      </c>
      <c r="M21" s="160">
        <v>202681</v>
      </c>
      <c r="N21" s="160">
        <v>188374</v>
      </c>
      <c r="O21" s="178">
        <f t="shared" si="5"/>
        <v>1606405</v>
      </c>
      <c r="P21" s="179"/>
    </row>
    <row r="22" spans="1:16" ht="18" customHeight="1">
      <c r="A22" s="375"/>
      <c r="B22" s="150">
        <v>2017</v>
      </c>
      <c r="C22" s="158">
        <v>166799.73000000001</v>
      </c>
      <c r="D22" s="158">
        <v>139442.49</v>
      </c>
      <c r="E22" s="158">
        <v>62088.22</v>
      </c>
      <c r="F22" s="158">
        <v>112932.86</v>
      </c>
      <c r="G22" s="158">
        <v>118379.01</v>
      </c>
      <c r="H22" s="158">
        <v>35849.1</v>
      </c>
      <c r="I22" s="158">
        <v>30038.58</v>
      </c>
      <c r="J22" s="158">
        <v>92700.66</v>
      </c>
      <c r="K22" s="158">
        <v>76140.66</v>
      </c>
      <c r="L22" s="158">
        <v>391059.7</v>
      </c>
      <c r="M22" s="158">
        <v>312411.14</v>
      </c>
      <c r="N22" s="158">
        <v>41461.980000000003</v>
      </c>
      <c r="O22" s="180">
        <f t="shared" si="5"/>
        <v>1579304.13</v>
      </c>
      <c r="P22" s="329">
        <f>(O22-O21)/O21</f>
        <v>-1.6870508993684724E-2</v>
      </c>
    </row>
    <row r="23" spans="1:16" ht="18" customHeight="1">
      <c r="A23" s="375" t="s">
        <v>56</v>
      </c>
      <c r="B23" s="148">
        <v>2016</v>
      </c>
      <c r="C23" s="161">
        <v>5309707.01</v>
      </c>
      <c r="D23" s="161">
        <v>3808706.14</v>
      </c>
      <c r="E23" s="161">
        <v>2576165.23</v>
      </c>
      <c r="F23" s="161">
        <v>2532689.67</v>
      </c>
      <c r="G23" s="161">
        <v>2790217.6</v>
      </c>
      <c r="H23" s="161">
        <v>2745903.66</v>
      </c>
      <c r="I23" s="161">
        <v>2642898.21</v>
      </c>
      <c r="J23" s="161">
        <v>3844341</v>
      </c>
      <c r="K23" s="161">
        <v>4886113.6100000003</v>
      </c>
      <c r="L23" s="161">
        <v>7095491.9800000004</v>
      </c>
      <c r="M23" s="161">
        <v>5624986.4000000004</v>
      </c>
      <c r="N23" s="161">
        <v>6505211.6200000001</v>
      </c>
      <c r="O23" s="178">
        <v>47247658</v>
      </c>
      <c r="P23" s="179"/>
    </row>
    <row r="24" spans="1:16" s="142" customFormat="1" ht="18" customHeight="1" thickBot="1">
      <c r="A24" s="376"/>
      <c r="B24" s="330">
        <v>2017</v>
      </c>
      <c r="C24" s="162">
        <f>C16+C18+C20+C22</f>
        <v>7631231.7100000009</v>
      </c>
      <c r="D24" s="162">
        <f t="shared" ref="D24:H24" si="6">D16+D18+D20+D22</f>
        <v>3366647.5199999996</v>
      </c>
      <c r="E24" s="162">
        <f t="shared" si="6"/>
        <v>3850062.14</v>
      </c>
      <c r="F24" s="162">
        <f t="shared" si="6"/>
        <v>4075445.01</v>
      </c>
      <c r="G24" s="162">
        <f t="shared" si="6"/>
        <v>3974730.05</v>
      </c>
      <c r="H24" s="162">
        <f t="shared" si="6"/>
        <v>3082882.33</v>
      </c>
      <c r="I24" s="162">
        <f t="shared" ref="I24:N24" si="7">I16+I18+I20+I22</f>
        <v>4131488.3499999996</v>
      </c>
      <c r="J24" s="162">
        <f t="shared" si="7"/>
        <v>4632674.79</v>
      </c>
      <c r="K24" s="162">
        <f t="shared" si="7"/>
        <v>7099942.0899999999</v>
      </c>
      <c r="L24" s="162">
        <f t="shared" si="7"/>
        <v>10538311.029999999</v>
      </c>
      <c r="M24" s="162">
        <f t="shared" si="7"/>
        <v>8224756.6299999999</v>
      </c>
      <c r="N24" s="162">
        <f t="shared" si="7"/>
        <v>9551818.8900000006</v>
      </c>
      <c r="O24" s="182">
        <f t="shared" si="5"/>
        <v>70159990.540000021</v>
      </c>
      <c r="P24" s="329">
        <f>(O24-O23)/O23</f>
        <v>0.48494112745228601</v>
      </c>
    </row>
    <row r="25" spans="1:16" ht="18" customHeight="1">
      <c r="A25" s="163" t="s">
        <v>61</v>
      </c>
      <c r="B25" s="164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83"/>
    </row>
    <row r="26" spans="1:16" ht="12">
      <c r="A26" s="166"/>
      <c r="B26" s="167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</row>
    <row r="28" spans="1:16" ht="23.25" customHeight="1">
      <c r="A28" s="373" t="s">
        <v>62</v>
      </c>
      <c r="B28" s="373"/>
      <c r="C28" s="373"/>
      <c r="D28" s="373"/>
      <c r="E28" s="373"/>
      <c r="F28" s="373"/>
      <c r="G28" s="373"/>
      <c r="H28" s="373"/>
      <c r="I28" s="373"/>
      <c r="J28" s="373"/>
      <c r="K28" s="373"/>
      <c r="L28" s="9"/>
      <c r="M28" s="9"/>
    </row>
    <row r="29" spans="1:16" ht="22.5" customHeight="1">
      <c r="A29" s="377" t="s">
        <v>355</v>
      </c>
      <c r="B29" s="377"/>
      <c r="C29" s="377"/>
      <c r="D29" s="377"/>
      <c r="E29" s="377"/>
      <c r="F29" s="377"/>
      <c r="G29" s="377"/>
      <c r="H29" s="377"/>
      <c r="I29" s="377"/>
      <c r="J29" s="377"/>
      <c r="K29" s="377"/>
      <c r="L29" s="377"/>
      <c r="M29" s="377"/>
      <c r="N29" s="377"/>
      <c r="O29" s="377"/>
      <c r="P29" s="377"/>
    </row>
    <row r="30" spans="1:16" ht="22.5" customHeight="1">
      <c r="A30" s="383" t="s">
        <v>354</v>
      </c>
      <c r="B30" s="383"/>
      <c r="C30" s="383"/>
      <c r="D30" s="383"/>
      <c r="E30" s="383"/>
      <c r="F30" s="383"/>
      <c r="G30" s="383"/>
      <c r="H30" s="383"/>
      <c r="I30" s="383"/>
      <c r="J30" s="383"/>
      <c r="K30" s="383"/>
      <c r="L30" s="383"/>
      <c r="M30" s="383"/>
      <c r="N30" s="383"/>
      <c r="O30" s="383"/>
      <c r="P30" s="383"/>
    </row>
    <row r="31" spans="1:16" ht="22.5" customHeight="1">
      <c r="A31" s="383" t="s">
        <v>353</v>
      </c>
      <c r="B31" s="383"/>
      <c r="C31" s="383"/>
      <c r="D31" s="383"/>
      <c r="E31" s="383"/>
      <c r="F31" s="383"/>
      <c r="G31" s="383"/>
      <c r="H31" s="383"/>
      <c r="I31" s="383"/>
      <c r="J31" s="383"/>
      <c r="K31" s="383"/>
      <c r="L31" s="383"/>
      <c r="M31" s="383"/>
      <c r="N31" s="383"/>
      <c r="O31" s="383"/>
      <c r="P31" s="383"/>
    </row>
    <row r="32" spans="1:16" ht="23.25" customHeight="1">
      <c r="A32" s="373"/>
      <c r="B32" s="373"/>
      <c r="C32" s="373"/>
      <c r="D32" s="373"/>
      <c r="E32" s="373"/>
      <c r="F32" s="373"/>
      <c r="G32" s="373"/>
      <c r="H32" s="373"/>
      <c r="I32" s="373"/>
      <c r="J32" s="373"/>
      <c r="K32" s="373"/>
      <c r="L32" s="373"/>
      <c r="M32" s="373"/>
      <c r="P32" s="7"/>
    </row>
    <row r="33" spans="1:15" ht="23.25" customHeight="1">
      <c r="A33" s="373"/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  <c r="M33" s="373"/>
    </row>
    <row r="34" spans="1:15" ht="23.25" customHeight="1">
      <c r="A34" s="373"/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</row>
    <row r="35" spans="1:15" ht="23.25" customHeight="1">
      <c r="A35" s="373"/>
      <c r="B35" s="373"/>
      <c r="C35" s="373"/>
      <c r="D35" s="373"/>
      <c r="E35" s="373"/>
      <c r="F35" s="373"/>
      <c r="G35" s="373"/>
      <c r="H35" s="373"/>
      <c r="I35" s="373"/>
      <c r="J35" s="373"/>
      <c r="K35" s="373"/>
      <c r="L35" s="373"/>
      <c r="M35" s="373"/>
    </row>
    <row r="36" spans="1:15">
      <c r="A36" s="378"/>
      <c r="B36" s="168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</row>
    <row r="37" spans="1:15" ht="29.1" customHeight="1">
      <c r="A37" s="378"/>
      <c r="B37" s="168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</row>
  </sheetData>
  <mergeCells count="23">
    <mergeCell ref="A29:P29"/>
    <mergeCell ref="A36:A37"/>
    <mergeCell ref="B3:B4"/>
    <mergeCell ref="P3:P4"/>
    <mergeCell ref="A32:M32"/>
    <mergeCell ref="A33:M33"/>
    <mergeCell ref="A34:M34"/>
    <mergeCell ref="A35:M35"/>
    <mergeCell ref="A30:P30"/>
    <mergeCell ref="A31:P31"/>
    <mergeCell ref="A1:O1"/>
    <mergeCell ref="A2:O2"/>
    <mergeCell ref="A28:K28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</mergeCells>
  <phoneticPr fontId="7" type="noConversion"/>
  <pageMargins left="0.69930555555555596" right="0.69930555555555596" top="0.75" bottom="0.75" header="0.3" footer="0.3"/>
  <pageSetup paperSize="9" orientation="landscape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selection activeCell="N24" sqref="N24"/>
    </sheetView>
  </sheetViews>
  <sheetFormatPr defaultRowHeight="13.5"/>
  <cols>
    <col min="2" max="3" width="16" customWidth="1"/>
    <col min="4" max="4" width="12.875" customWidth="1"/>
    <col min="5" max="5" width="10.375" customWidth="1"/>
    <col min="10" max="10" width="20.125" customWidth="1"/>
    <col min="11" max="11" width="12.75" customWidth="1"/>
  </cols>
  <sheetData>
    <row r="1" spans="1:13">
      <c r="A1" s="387"/>
      <c r="B1" s="387" t="s">
        <v>358</v>
      </c>
      <c r="C1" s="387"/>
      <c r="D1" s="384" t="s">
        <v>359</v>
      </c>
      <c r="E1" s="386"/>
      <c r="F1" s="332" t="s">
        <v>360</v>
      </c>
      <c r="J1" s="387" t="s">
        <v>413</v>
      </c>
      <c r="K1" s="387"/>
    </row>
    <row r="2" spans="1:13">
      <c r="A2" s="387"/>
      <c r="B2" s="333">
        <v>2017</v>
      </c>
      <c r="C2" s="333">
        <v>2016</v>
      </c>
      <c r="D2" s="333">
        <v>2017</v>
      </c>
      <c r="E2" s="333">
        <v>2016</v>
      </c>
      <c r="F2" s="333"/>
      <c r="J2" s="333" t="s">
        <v>414</v>
      </c>
      <c r="K2" s="349">
        <v>0.26</v>
      </c>
    </row>
    <row r="3" spans="1:13">
      <c r="A3" s="333" t="s">
        <v>361</v>
      </c>
      <c r="B3" s="334">
        <v>73332268.640000001</v>
      </c>
      <c r="C3" s="334">
        <v>52377555.149999999</v>
      </c>
      <c r="D3" s="335">
        <f>B3/$B$6</f>
        <v>0.88953254263287318</v>
      </c>
      <c r="E3" s="335">
        <f>C3/$C$6</f>
        <v>0.87150697023452672</v>
      </c>
      <c r="F3" s="335">
        <f>(B3-C3)/C3</f>
        <v>0.40007047732543893</v>
      </c>
      <c r="J3" s="333" t="s">
        <v>415</v>
      </c>
      <c r="K3" s="332" t="s">
        <v>416</v>
      </c>
    </row>
    <row r="4" spans="1:13">
      <c r="A4" s="333" t="s">
        <v>362</v>
      </c>
      <c r="B4" s="336">
        <v>7740550.5599999996</v>
      </c>
      <c r="C4" s="336">
        <v>6652819.0599999996</v>
      </c>
      <c r="D4" s="335">
        <f t="shared" ref="D4:D5" si="0">B4/$B$6</f>
        <v>9.3894158038625622E-2</v>
      </c>
      <c r="E4" s="335">
        <f t="shared" ref="E4:E5" si="1">C4/$C$6</f>
        <v>0.11069585370861114</v>
      </c>
      <c r="F4" s="335">
        <f t="shared" ref="F4:F6" si="2">(B4-C4)/C4</f>
        <v>0.16349933617464113</v>
      </c>
      <c r="J4" s="333" t="s">
        <v>417</v>
      </c>
      <c r="K4" s="332">
        <v>38</v>
      </c>
    </row>
    <row r="5" spans="1:13">
      <c r="A5" s="333" t="s">
        <v>363</v>
      </c>
      <c r="B5" s="337">
        <v>1366288</v>
      </c>
      <c r="C5" s="337">
        <v>1069610</v>
      </c>
      <c r="D5" s="335">
        <f t="shared" si="0"/>
        <v>1.6573299328501219E-2</v>
      </c>
      <c r="E5" s="335">
        <f t="shared" si="1"/>
        <v>1.7797176056862062E-2</v>
      </c>
      <c r="F5" s="335">
        <f t="shared" si="2"/>
        <v>0.27737025644861213</v>
      </c>
      <c r="J5" s="333" t="s">
        <v>418</v>
      </c>
      <c r="K5" s="332">
        <v>2</v>
      </c>
    </row>
    <row r="6" spans="1:13">
      <c r="A6" s="333" t="s">
        <v>364</v>
      </c>
      <c r="B6" s="338">
        <f>SUM(B3:B5)</f>
        <v>82439107.200000003</v>
      </c>
      <c r="C6" s="338">
        <f>SUM(C3:C5)</f>
        <v>60099984.210000001</v>
      </c>
      <c r="D6" s="333"/>
      <c r="E6" s="333"/>
      <c r="F6" s="335">
        <f t="shared" si="2"/>
        <v>0.37169931545977025</v>
      </c>
      <c r="J6" s="333" t="s">
        <v>419</v>
      </c>
      <c r="K6" s="332" t="s">
        <v>420</v>
      </c>
    </row>
    <row r="7" spans="1:13">
      <c r="J7" s="333" t="s">
        <v>421</v>
      </c>
      <c r="K7" s="332" t="s">
        <v>422</v>
      </c>
    </row>
    <row r="8" spans="1:13" ht="24">
      <c r="A8" s="339" t="s">
        <v>365</v>
      </c>
      <c r="B8" s="339" t="s">
        <v>366</v>
      </c>
      <c r="C8" s="339" t="s">
        <v>367</v>
      </c>
      <c r="D8" s="339" t="s">
        <v>368</v>
      </c>
      <c r="E8" s="339" t="s">
        <v>369</v>
      </c>
      <c r="F8" s="339" t="s">
        <v>370</v>
      </c>
      <c r="J8" s="333" t="s">
        <v>423</v>
      </c>
      <c r="K8" s="332" t="s">
        <v>424</v>
      </c>
    </row>
    <row r="9" spans="1:13">
      <c r="A9" s="339" t="s">
        <v>371</v>
      </c>
      <c r="B9" s="337">
        <v>38138342.100000501</v>
      </c>
      <c r="C9" s="333">
        <v>62430</v>
      </c>
      <c r="D9" s="340">
        <f>B9/19</f>
        <v>2007281.1631579211</v>
      </c>
      <c r="E9" s="340">
        <f>B9/C9</f>
        <v>610.89767900048855</v>
      </c>
      <c r="F9" s="341">
        <v>0.76</v>
      </c>
      <c r="J9" s="333" t="s">
        <v>425</v>
      </c>
      <c r="K9" s="332" t="s">
        <v>426</v>
      </c>
    </row>
    <row r="10" spans="1:13">
      <c r="A10" s="339" t="s">
        <v>372</v>
      </c>
      <c r="B10" s="337">
        <v>39943412.929999799</v>
      </c>
      <c r="C10" s="333">
        <v>67129</v>
      </c>
      <c r="D10" s="340">
        <f>B10/19</f>
        <v>2102284.891052621</v>
      </c>
      <c r="E10" s="340">
        <f>B10/C10</f>
        <v>595.02469767164416</v>
      </c>
      <c r="F10" s="341">
        <v>0.55000000000000004</v>
      </c>
      <c r="J10" s="333" t="s">
        <v>427</v>
      </c>
      <c r="K10" s="332" t="s">
        <v>428</v>
      </c>
    </row>
    <row r="11" spans="1:13">
      <c r="A11" s="339" t="s">
        <v>166</v>
      </c>
      <c r="B11" s="335">
        <f>(B10-B9)/B9</f>
        <v>4.7329556834597539E-2</v>
      </c>
      <c r="C11" s="335">
        <f t="shared" ref="C11:F11" si="3">(C10-C9)/C9</f>
        <v>7.526830049655614E-2</v>
      </c>
      <c r="D11" s="335">
        <f t="shared" si="3"/>
        <v>4.7329556834597546E-2</v>
      </c>
      <c r="E11" s="335">
        <f t="shared" si="3"/>
        <v>-2.5983044091466741E-2</v>
      </c>
      <c r="F11" s="335">
        <f t="shared" si="3"/>
        <v>-0.27631578947368418</v>
      </c>
    </row>
    <row r="12" spans="1:13">
      <c r="A12" s="265"/>
      <c r="B12" s="265"/>
      <c r="C12" s="265"/>
      <c r="D12" s="265"/>
      <c r="E12" s="265"/>
      <c r="F12" s="265"/>
    </row>
    <row r="13" spans="1:13" ht="24">
      <c r="A13" s="339" t="s">
        <v>373</v>
      </c>
      <c r="B13" s="339" t="s">
        <v>366</v>
      </c>
      <c r="C13" s="339" t="s">
        <v>367</v>
      </c>
      <c r="D13" s="339" t="s">
        <v>368</v>
      </c>
      <c r="E13" s="339" t="s">
        <v>369</v>
      </c>
      <c r="F13" s="339" t="s">
        <v>374</v>
      </c>
      <c r="J13" s="339" t="s">
        <v>429</v>
      </c>
      <c r="K13" s="339" t="s">
        <v>366</v>
      </c>
      <c r="L13" s="339" t="s">
        <v>430</v>
      </c>
      <c r="M13" s="339" t="s">
        <v>431</v>
      </c>
    </row>
    <row r="14" spans="1:13">
      <c r="A14" s="339" t="s">
        <v>371</v>
      </c>
      <c r="B14" s="342">
        <v>4861277.6100000003</v>
      </c>
      <c r="C14" s="342">
        <v>4457</v>
      </c>
      <c r="D14" s="343">
        <f>B14/7</f>
        <v>694468.2300000001</v>
      </c>
      <c r="E14" s="343">
        <f>B14/C14</f>
        <v>1090.7062171864484</v>
      </c>
      <c r="F14" s="341">
        <v>0.71</v>
      </c>
      <c r="J14" s="339" t="s">
        <v>371</v>
      </c>
      <c r="K14" s="337">
        <v>1069610</v>
      </c>
      <c r="L14" s="354">
        <v>0.12</v>
      </c>
      <c r="M14" s="355">
        <v>1.7999999999999999E-2</v>
      </c>
    </row>
    <row r="15" spans="1:13">
      <c r="A15" s="339" t="s">
        <v>372</v>
      </c>
      <c r="B15" s="342">
        <v>6365363.2599999998</v>
      </c>
      <c r="C15" s="342">
        <v>7626</v>
      </c>
      <c r="D15" s="343">
        <f>B15/7</f>
        <v>909337.60857142857</v>
      </c>
      <c r="E15" s="343">
        <f>B15/C15</f>
        <v>834.69227117755042</v>
      </c>
      <c r="F15" s="341">
        <v>0.82</v>
      </c>
      <c r="J15" s="339" t="s">
        <v>372</v>
      </c>
      <c r="K15" s="337">
        <v>1366288</v>
      </c>
      <c r="L15" s="354">
        <v>0.19</v>
      </c>
      <c r="M15" s="356">
        <v>1.7000000000000001E-2</v>
      </c>
    </row>
    <row r="16" spans="1:13">
      <c r="A16" s="339" t="s">
        <v>166</v>
      </c>
      <c r="B16" s="335">
        <f>(B15-B14)/B14</f>
        <v>0.3094013077767841</v>
      </c>
      <c r="C16" s="335">
        <f t="shared" ref="C16:F16" si="4">(C15-C14)/C14</f>
        <v>0.71101637873008749</v>
      </c>
      <c r="D16" s="335">
        <f t="shared" si="4"/>
        <v>0.30940130777678404</v>
      </c>
      <c r="E16" s="335">
        <f t="shared" si="4"/>
        <v>-0.23472310139507915</v>
      </c>
      <c r="F16" s="335">
        <f t="shared" si="4"/>
        <v>0.15492957746478872</v>
      </c>
      <c r="J16" s="339" t="s">
        <v>166</v>
      </c>
      <c r="K16" s="335">
        <f>(K15-K14)/K14</f>
        <v>0.27737025644861213</v>
      </c>
      <c r="L16" s="335"/>
      <c r="M16" s="335"/>
    </row>
    <row r="17" spans="2:13">
      <c r="J17" s="265"/>
      <c r="K17" s="265"/>
      <c r="L17" s="265"/>
      <c r="M17" s="265"/>
    </row>
    <row r="18" spans="2:13">
      <c r="B18" s="384" t="s">
        <v>375</v>
      </c>
      <c r="C18" s="386"/>
      <c r="D18" s="265"/>
      <c r="E18" s="387" t="s">
        <v>376</v>
      </c>
      <c r="F18" s="387"/>
      <c r="J18" s="265"/>
      <c r="K18" s="265"/>
      <c r="L18" s="265"/>
      <c r="M18" s="265"/>
    </row>
    <row r="19" spans="2:13">
      <c r="B19" s="344" t="s">
        <v>377</v>
      </c>
      <c r="C19" s="345">
        <v>5579928</v>
      </c>
      <c r="D19" s="265"/>
      <c r="E19" s="346" t="s">
        <v>378</v>
      </c>
      <c r="F19" s="347">
        <v>0.73</v>
      </c>
      <c r="J19" s="333" t="s">
        <v>432</v>
      </c>
      <c r="K19" s="354">
        <v>0.11</v>
      </c>
      <c r="L19" s="265"/>
      <c r="M19" s="265"/>
    </row>
    <row r="20" spans="2:13">
      <c r="B20" s="344" t="s">
        <v>379</v>
      </c>
      <c r="C20" s="348">
        <v>3465848.8</v>
      </c>
      <c r="D20" s="265"/>
      <c r="E20" s="332" t="s">
        <v>380</v>
      </c>
      <c r="F20" s="349">
        <v>0.5</v>
      </c>
      <c r="J20" s="333" t="s">
        <v>433</v>
      </c>
      <c r="K20" s="354">
        <v>0.17</v>
      </c>
      <c r="L20" s="265"/>
      <c r="M20" s="265"/>
    </row>
    <row r="21" spans="2:13">
      <c r="B21" s="344" t="s">
        <v>381</v>
      </c>
      <c r="C21" s="345">
        <v>3334670.95</v>
      </c>
      <c r="D21" s="265"/>
      <c r="E21" s="350" t="s">
        <v>382</v>
      </c>
      <c r="F21" s="351">
        <v>0.4</v>
      </c>
    </row>
    <row r="22" spans="2:13">
      <c r="B22" s="344" t="s">
        <v>383</v>
      </c>
      <c r="C22" s="348">
        <v>3299737</v>
      </c>
      <c r="D22" s="265"/>
      <c r="E22" s="346" t="s">
        <v>384</v>
      </c>
      <c r="F22" s="347">
        <v>0.36</v>
      </c>
    </row>
    <row r="23" spans="2:13">
      <c r="B23" s="344" t="s">
        <v>385</v>
      </c>
      <c r="C23" s="345">
        <v>3277243.5</v>
      </c>
      <c r="D23" s="265"/>
      <c r="E23" s="350" t="s">
        <v>386</v>
      </c>
      <c r="F23" s="351">
        <v>0.35</v>
      </c>
    </row>
    <row r="24" spans="2:13">
      <c r="B24" s="265"/>
      <c r="C24" s="265"/>
      <c r="D24" s="265"/>
      <c r="E24" s="265"/>
      <c r="F24" s="265"/>
    </row>
    <row r="25" spans="2:13">
      <c r="B25" s="387" t="s">
        <v>387</v>
      </c>
      <c r="C25" s="387"/>
      <c r="D25" s="265"/>
      <c r="E25" s="387" t="s">
        <v>388</v>
      </c>
      <c r="F25" s="387"/>
    </row>
    <row r="26" spans="2:13">
      <c r="B26" s="344" t="s">
        <v>389</v>
      </c>
      <c r="C26" s="352">
        <v>0.4</v>
      </c>
      <c r="D26" s="265"/>
      <c r="E26" s="344" t="s">
        <v>390</v>
      </c>
      <c r="F26" s="335">
        <v>0.19</v>
      </c>
    </row>
    <row r="27" spans="2:13">
      <c r="B27" s="344" t="s">
        <v>391</v>
      </c>
      <c r="C27" s="352">
        <v>0.38</v>
      </c>
      <c r="D27" s="265"/>
      <c r="E27" s="344" t="s">
        <v>392</v>
      </c>
      <c r="F27" s="335">
        <v>0.19</v>
      </c>
    </row>
    <row r="28" spans="2:13">
      <c r="B28" s="344" t="s">
        <v>392</v>
      </c>
      <c r="C28" s="352">
        <v>0.37</v>
      </c>
      <c r="D28" s="265"/>
      <c r="E28" s="344" t="s">
        <v>382</v>
      </c>
      <c r="F28" s="335">
        <v>0.1</v>
      </c>
    </row>
    <row r="29" spans="2:13">
      <c r="B29" s="344" t="s">
        <v>379</v>
      </c>
      <c r="C29" s="352">
        <v>0.37</v>
      </c>
      <c r="D29" s="265"/>
      <c r="E29" s="344" t="s">
        <v>386</v>
      </c>
      <c r="F29" s="335">
        <v>0.08</v>
      </c>
    </row>
    <row r="30" spans="2:13">
      <c r="B30" s="344" t="s">
        <v>393</v>
      </c>
      <c r="C30" s="352">
        <v>0.35</v>
      </c>
      <c r="D30" s="265"/>
      <c r="E30" s="344" t="s">
        <v>394</v>
      </c>
      <c r="F30" s="335">
        <v>0.06</v>
      </c>
    </row>
    <row r="33" spans="2:4">
      <c r="B33" s="384" t="s">
        <v>395</v>
      </c>
      <c r="C33" s="385"/>
      <c r="D33" s="386"/>
    </row>
    <row r="34" spans="2:4">
      <c r="B34" s="344" t="s">
        <v>396</v>
      </c>
      <c r="C34" s="353">
        <v>-0.86</v>
      </c>
      <c r="D34" s="333" t="s">
        <v>397</v>
      </c>
    </row>
    <row r="35" spans="2:4">
      <c r="B35" s="344" t="s">
        <v>398</v>
      </c>
      <c r="C35" s="352">
        <v>-0.78</v>
      </c>
      <c r="D35" s="333" t="s">
        <v>399</v>
      </c>
    </row>
    <row r="36" spans="2:4">
      <c r="B36" s="344" t="s">
        <v>400</v>
      </c>
      <c r="C36" s="353">
        <v>-0.42</v>
      </c>
      <c r="D36" s="333" t="s">
        <v>401</v>
      </c>
    </row>
    <row r="37" spans="2:4">
      <c r="B37" s="344" t="s">
        <v>402</v>
      </c>
      <c r="C37" s="353">
        <v>-0.35</v>
      </c>
      <c r="D37" s="333" t="s">
        <v>403</v>
      </c>
    </row>
    <row r="38" spans="2:4">
      <c r="B38" s="344" t="s">
        <v>404</v>
      </c>
      <c r="C38" s="353">
        <v>-0.25</v>
      </c>
      <c r="D38" s="333" t="s">
        <v>405</v>
      </c>
    </row>
    <row r="39" spans="2:4">
      <c r="B39" s="344" t="s">
        <v>406</v>
      </c>
      <c r="C39" s="352">
        <v>-0.22</v>
      </c>
      <c r="D39" s="333" t="s">
        <v>407</v>
      </c>
    </row>
    <row r="40" spans="2:4">
      <c r="B40" s="344" t="s">
        <v>408</v>
      </c>
      <c r="C40" s="353">
        <v>-0.2</v>
      </c>
      <c r="D40" s="333" t="s">
        <v>403</v>
      </c>
    </row>
    <row r="41" spans="2:4">
      <c r="B41" s="344" t="s">
        <v>409</v>
      </c>
      <c r="C41" s="352">
        <v>-0.15</v>
      </c>
      <c r="D41" s="333" t="s">
        <v>397</v>
      </c>
    </row>
    <row r="42" spans="2:4">
      <c r="B42" s="344" t="s">
        <v>410</v>
      </c>
      <c r="C42" s="353">
        <v>-7.0000000000000007E-2</v>
      </c>
      <c r="D42" s="333" t="s">
        <v>407</v>
      </c>
    </row>
    <row r="43" spans="2:4">
      <c r="B43" s="344" t="s">
        <v>411</v>
      </c>
      <c r="C43" s="353">
        <v>-0.06</v>
      </c>
      <c r="D43" s="333" t="s">
        <v>401</v>
      </c>
    </row>
    <row r="44" spans="2:4">
      <c r="B44" s="344" t="s">
        <v>412</v>
      </c>
      <c r="C44" s="353">
        <v>-0.05</v>
      </c>
      <c r="D44" s="333" t="s">
        <v>403</v>
      </c>
    </row>
  </sheetData>
  <mergeCells count="9">
    <mergeCell ref="B33:D33"/>
    <mergeCell ref="J1:K1"/>
    <mergeCell ref="A1:A2"/>
    <mergeCell ref="B1:C1"/>
    <mergeCell ref="D1:E1"/>
    <mergeCell ref="B18:C18"/>
    <mergeCell ref="E18:F18"/>
    <mergeCell ref="B25:C25"/>
    <mergeCell ref="E25:F25"/>
  </mergeCells>
  <phoneticPr fontId="8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42"/>
  <sheetViews>
    <sheetView workbookViewId="0">
      <selection activeCell="C6" sqref="C6:N6"/>
    </sheetView>
  </sheetViews>
  <sheetFormatPr defaultColWidth="9" defaultRowHeight="13.5"/>
  <cols>
    <col min="1" max="1" width="20.75" customWidth="1"/>
    <col min="2" max="2" width="9" customWidth="1"/>
    <col min="3" max="8" width="11.5" customWidth="1"/>
    <col min="9" max="11" width="9.125" customWidth="1"/>
    <col min="12" max="13" width="10.75" customWidth="1"/>
    <col min="14" max="14" width="11.25" customWidth="1"/>
    <col min="15" max="15" width="14.5" customWidth="1"/>
  </cols>
  <sheetData>
    <row r="1" spans="1:17" ht="18.75">
      <c r="A1" s="388" t="s">
        <v>63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</row>
    <row r="2" spans="1:17" ht="20.25" customHeight="1">
      <c r="A2" s="389" t="s">
        <v>64</v>
      </c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17" ht="16.5" customHeight="1">
      <c r="A3" s="16" t="s">
        <v>65</v>
      </c>
      <c r="B3" s="16"/>
      <c r="C3" s="50" t="s">
        <v>66</v>
      </c>
      <c r="D3" s="50" t="s">
        <v>67</v>
      </c>
      <c r="E3" s="50" t="s">
        <v>68</v>
      </c>
      <c r="F3" s="50" t="s">
        <v>69</v>
      </c>
      <c r="G3" s="50" t="s">
        <v>70</v>
      </c>
      <c r="H3" s="50" t="s">
        <v>71</v>
      </c>
      <c r="I3" s="50" t="s">
        <v>72</v>
      </c>
      <c r="J3" s="50" t="s">
        <v>73</v>
      </c>
      <c r="K3" s="50" t="s">
        <v>74</v>
      </c>
      <c r="L3" s="50" t="s">
        <v>75</v>
      </c>
      <c r="M3" s="50" t="s">
        <v>76</v>
      </c>
      <c r="N3" s="50" t="s">
        <v>77</v>
      </c>
      <c r="O3" s="70" t="s">
        <v>36</v>
      </c>
      <c r="P3" s="392" t="s">
        <v>78</v>
      </c>
      <c r="Q3" s="394" t="s">
        <v>79</v>
      </c>
    </row>
    <row r="4" spans="1:17" ht="15">
      <c r="A4" s="51" t="s">
        <v>38</v>
      </c>
      <c r="B4" s="51"/>
      <c r="C4" s="52" t="s">
        <v>39</v>
      </c>
      <c r="D4" s="52" t="s">
        <v>40</v>
      </c>
      <c r="E4" s="52" t="s">
        <v>41</v>
      </c>
      <c r="F4" s="52" t="s">
        <v>42</v>
      </c>
      <c r="G4" s="52" t="s">
        <v>43</v>
      </c>
      <c r="H4" s="52" t="s">
        <v>44</v>
      </c>
      <c r="I4" s="52" t="s">
        <v>45</v>
      </c>
      <c r="J4" s="52" t="s">
        <v>46</v>
      </c>
      <c r="K4" s="52" t="s">
        <v>47</v>
      </c>
      <c r="L4" s="52" t="s">
        <v>48</v>
      </c>
      <c r="M4" s="52" t="s">
        <v>49</v>
      </c>
      <c r="N4" s="52" t="s">
        <v>50</v>
      </c>
      <c r="O4" s="52" t="s">
        <v>51</v>
      </c>
      <c r="P4" s="393"/>
      <c r="Q4" s="395"/>
    </row>
    <row r="5" spans="1:17" ht="22.5" customHeight="1">
      <c r="A5" s="119" t="s">
        <v>80</v>
      </c>
      <c r="B5" s="120" t="s">
        <v>81</v>
      </c>
      <c r="C5" s="121">
        <v>3671528.3596687056</v>
      </c>
      <c r="D5" s="121">
        <v>2675278.8490104116</v>
      </c>
      <c r="E5" s="121">
        <v>3418836.4201421766</v>
      </c>
      <c r="F5" s="121">
        <v>2834225.9513723529</v>
      </c>
      <c r="G5" s="121">
        <v>2944241.7806561175</v>
      </c>
      <c r="H5" s="121">
        <v>2697996.4371459996</v>
      </c>
      <c r="I5" s="121">
        <v>2792669.8299289411</v>
      </c>
      <c r="J5" s="121">
        <v>3777274.3233351763</v>
      </c>
      <c r="K5" s="121">
        <v>6544681.1247949991</v>
      </c>
      <c r="L5" s="121">
        <v>7439790.3867632933</v>
      </c>
      <c r="M5" s="121">
        <v>7225780.7320120586</v>
      </c>
      <c r="N5" s="121">
        <v>4344456.6789229419</v>
      </c>
      <c r="O5" s="133">
        <f>SUM(C5:N5)</f>
        <v>50366760.873753175</v>
      </c>
      <c r="P5" s="134"/>
      <c r="Q5" s="139">
        <f>O5/90000000</f>
        <v>0.55963067637503527</v>
      </c>
    </row>
    <row r="6" spans="1:17" ht="22.5" customHeight="1">
      <c r="A6" s="23"/>
      <c r="B6" s="24" t="s">
        <v>82</v>
      </c>
      <c r="C6" s="46">
        <f>C9+C12+C15+C18+C21+C24</f>
        <v>3959444.77</v>
      </c>
      <c r="D6" s="46">
        <f t="shared" ref="D6:M6" si="0">D9+D12+D15+D18+D21+D24</f>
        <v>2561877.2200000002</v>
      </c>
      <c r="E6" s="46">
        <f t="shared" si="0"/>
        <v>3923132</v>
      </c>
      <c r="F6" s="46">
        <f t="shared" si="0"/>
        <v>3230481</v>
      </c>
      <c r="G6" s="46">
        <f t="shared" si="0"/>
        <v>5553920.75</v>
      </c>
      <c r="H6" s="46">
        <f t="shared" si="0"/>
        <v>3708420.3</v>
      </c>
      <c r="I6" s="46">
        <f t="shared" si="0"/>
        <v>5452937.4000000004</v>
      </c>
      <c r="J6" s="46">
        <f t="shared" si="0"/>
        <v>7286820.5</v>
      </c>
      <c r="K6" s="46">
        <f t="shared" si="0"/>
        <v>6992590</v>
      </c>
      <c r="L6" s="46">
        <f t="shared" si="0"/>
        <v>5663200.1799999997</v>
      </c>
      <c r="M6" s="46">
        <f t="shared" si="0"/>
        <v>8483557</v>
      </c>
      <c r="N6" s="46">
        <f>N9+N12+N15+N18+N21+N24</f>
        <v>6018678</v>
      </c>
      <c r="O6" s="135">
        <f>SUM(C6:N6)</f>
        <v>62835059.120000005</v>
      </c>
      <c r="P6" s="134"/>
      <c r="Q6" s="140">
        <f>O6/82439377.96</f>
        <v>0.76219715231825136</v>
      </c>
    </row>
    <row r="7" spans="1:17" ht="22.5" customHeight="1">
      <c r="A7" s="23"/>
      <c r="B7" s="122" t="s">
        <v>83</v>
      </c>
      <c r="C7" s="46">
        <f>C5-C6</f>
        <v>-287916.41033129441</v>
      </c>
      <c r="D7" s="46">
        <f t="shared" ref="D7:O7" si="1">D5-D6</f>
        <v>113401.62901041145</v>
      </c>
      <c r="E7" s="46">
        <f t="shared" si="1"/>
        <v>-504295.57985782344</v>
      </c>
      <c r="F7" s="46">
        <f t="shared" si="1"/>
        <v>-396255.04862764711</v>
      </c>
      <c r="G7" s="46">
        <f t="shared" si="1"/>
        <v>-2609678.9693438825</v>
      </c>
      <c r="H7" s="46">
        <f t="shared" si="1"/>
        <v>-1010423.8628540002</v>
      </c>
      <c r="I7" s="46">
        <f t="shared" si="1"/>
        <v>-2660267.5700710593</v>
      </c>
      <c r="J7" s="46">
        <f t="shared" si="1"/>
        <v>-3509546.1766648237</v>
      </c>
      <c r="K7" s="46">
        <f t="shared" si="1"/>
        <v>-447908.87520500086</v>
      </c>
      <c r="L7" s="46">
        <f t="shared" si="1"/>
        <v>1776590.2067632936</v>
      </c>
      <c r="M7" s="46">
        <f t="shared" si="1"/>
        <v>-1257776.2679879414</v>
      </c>
      <c r="N7" s="46">
        <f t="shared" si="1"/>
        <v>-1674221.3210770581</v>
      </c>
      <c r="O7" s="46">
        <f t="shared" si="1"/>
        <v>-12468298.24624683</v>
      </c>
      <c r="P7" s="134"/>
      <c r="Q7" s="140"/>
    </row>
    <row r="8" spans="1:17" ht="22.5" customHeight="1">
      <c r="A8" s="96" t="s">
        <v>84</v>
      </c>
      <c r="B8" s="120" t="s">
        <v>81</v>
      </c>
      <c r="C8" s="123">
        <v>154800</v>
      </c>
      <c r="D8" s="123">
        <v>130800</v>
      </c>
      <c r="E8" s="123">
        <v>156800</v>
      </c>
      <c r="F8" s="123">
        <v>152800</v>
      </c>
      <c r="G8" s="123">
        <v>140800</v>
      </c>
      <c r="H8" s="123">
        <v>130800</v>
      </c>
      <c r="I8" s="123">
        <v>131026</v>
      </c>
      <c r="J8" s="123">
        <v>140800</v>
      </c>
      <c r="K8" s="123">
        <v>144800</v>
      </c>
      <c r="L8" s="123">
        <v>156800</v>
      </c>
      <c r="M8" s="123">
        <v>142800</v>
      </c>
      <c r="N8" s="123">
        <v>640800</v>
      </c>
      <c r="O8" s="125">
        <v>2223826</v>
      </c>
      <c r="P8" s="136">
        <f>O8/$O$5</f>
        <v>4.4152650704978466E-2</v>
      </c>
      <c r="Q8" s="139">
        <f>O8/90000000</f>
        <v>2.4709177777777779E-2</v>
      </c>
    </row>
    <row r="9" spans="1:17" ht="22.5" customHeight="1">
      <c r="A9" s="96"/>
      <c r="B9" s="24" t="s">
        <v>82</v>
      </c>
      <c r="C9" s="124">
        <v>97737</v>
      </c>
      <c r="D9" s="124">
        <v>88865</v>
      </c>
      <c r="E9" s="124">
        <v>112354</v>
      </c>
      <c r="F9" s="124">
        <v>127737</v>
      </c>
      <c r="G9" s="124">
        <v>131312.75</v>
      </c>
      <c r="H9" s="124">
        <v>105864</v>
      </c>
      <c r="I9" s="124">
        <v>163860</v>
      </c>
      <c r="J9" s="124">
        <v>142041</v>
      </c>
      <c r="K9" s="124">
        <v>152052</v>
      </c>
      <c r="L9" s="124">
        <v>155406</v>
      </c>
      <c r="M9" s="124">
        <v>162522</v>
      </c>
      <c r="N9" s="124">
        <v>151768</v>
      </c>
      <c r="O9" s="127">
        <v>1591518.75</v>
      </c>
      <c r="P9" s="134">
        <f>O9/$O$6</f>
        <v>2.5328515199780081E-2</v>
      </c>
      <c r="Q9" s="140">
        <f>O9/82439377.96</f>
        <v>1.9305322157721922E-2</v>
      </c>
    </row>
    <row r="10" spans="1:17" ht="22.5" customHeight="1">
      <c r="A10" s="96"/>
      <c r="B10" s="122" t="s">
        <v>83</v>
      </c>
      <c r="C10" s="46">
        <f>C8-C9</f>
        <v>57063</v>
      </c>
      <c r="D10" s="46">
        <f t="shared" ref="D10" si="2">D8-D9</f>
        <v>41935</v>
      </c>
      <c r="E10" s="46">
        <f t="shared" ref="E10" si="3">E8-E9</f>
        <v>44446</v>
      </c>
      <c r="F10" s="46">
        <f t="shared" ref="F10" si="4">F8-F9</f>
        <v>25063</v>
      </c>
      <c r="G10" s="46">
        <f t="shared" ref="G10" si="5">G8-G9</f>
        <v>9487.25</v>
      </c>
      <c r="H10" s="46">
        <f t="shared" ref="H10" si="6">H8-H9</f>
        <v>24936</v>
      </c>
      <c r="I10" s="46">
        <f t="shared" ref="I10" si="7">I8-I9</f>
        <v>-32834</v>
      </c>
      <c r="J10" s="46">
        <f t="shared" ref="J10" si="8">J8-J9</f>
        <v>-1241</v>
      </c>
      <c r="K10" s="46">
        <f t="shared" ref="K10" si="9">K8-K9</f>
        <v>-7252</v>
      </c>
      <c r="L10" s="46">
        <f t="shared" ref="L10" si="10">L8-L9</f>
        <v>1394</v>
      </c>
      <c r="M10" s="46">
        <f t="shared" ref="M10" si="11">M8-M9</f>
        <v>-19722</v>
      </c>
      <c r="N10" s="46">
        <f t="shared" ref="N10" si="12">N8-N9</f>
        <v>489032</v>
      </c>
      <c r="O10" s="46">
        <f t="shared" ref="O10" si="13">O8-O9</f>
        <v>632307.25</v>
      </c>
      <c r="P10" s="134"/>
      <c r="Q10" s="140"/>
    </row>
    <row r="11" spans="1:17" ht="22.5" customHeight="1">
      <c r="A11" s="96" t="s">
        <v>85</v>
      </c>
      <c r="B11" s="120" t="s">
        <v>81</v>
      </c>
      <c r="C11" s="123">
        <v>1345500</v>
      </c>
      <c r="D11" s="123">
        <v>939500</v>
      </c>
      <c r="E11" s="123">
        <v>880500</v>
      </c>
      <c r="F11" s="123">
        <v>735500</v>
      </c>
      <c r="G11" s="123">
        <v>846500</v>
      </c>
      <c r="H11" s="123">
        <v>742300</v>
      </c>
      <c r="I11" s="123">
        <v>733900</v>
      </c>
      <c r="J11" s="123">
        <v>825500</v>
      </c>
      <c r="K11" s="123">
        <v>259500</v>
      </c>
      <c r="L11" s="123">
        <v>1389500</v>
      </c>
      <c r="M11" s="123">
        <v>1216500</v>
      </c>
      <c r="N11" s="123">
        <v>1196500</v>
      </c>
      <c r="O11" s="125">
        <f>SUM(C11:N11)</f>
        <v>11111200</v>
      </c>
      <c r="P11" s="136">
        <f>O11/$O$5</f>
        <v>0.22060580841898456</v>
      </c>
      <c r="Q11" s="139">
        <f>O11/90000000</f>
        <v>0.12345777777777778</v>
      </c>
    </row>
    <row r="12" spans="1:17" ht="22.5" customHeight="1">
      <c r="A12" s="96"/>
      <c r="B12" s="24" t="s">
        <v>82</v>
      </c>
      <c r="C12" s="124">
        <v>1328450</v>
      </c>
      <c r="D12" s="124">
        <v>1401977</v>
      </c>
      <c r="E12" s="124">
        <v>1109165</v>
      </c>
      <c r="F12" s="124">
        <v>1100918</v>
      </c>
      <c r="G12" s="124">
        <v>1207887</v>
      </c>
      <c r="H12" s="124">
        <v>1382042</v>
      </c>
      <c r="I12" s="124">
        <v>1221287</v>
      </c>
      <c r="J12" s="124">
        <v>1230693</v>
      </c>
      <c r="K12" s="124">
        <v>2051751</v>
      </c>
      <c r="L12" s="124">
        <v>2042275</v>
      </c>
      <c r="M12" s="124">
        <v>1928162</v>
      </c>
      <c r="N12" s="124">
        <v>1747107</v>
      </c>
      <c r="O12" s="127">
        <f>SUM(C12:N12)</f>
        <v>17751714</v>
      </c>
      <c r="P12" s="134">
        <f>O12/$O$6</f>
        <v>0.28251288768740479</v>
      </c>
      <c r="Q12" s="140">
        <f>O12/82439377.96</f>
        <v>0.21533051848854587</v>
      </c>
    </row>
    <row r="13" spans="1:17" ht="22.5" customHeight="1">
      <c r="A13" s="96"/>
      <c r="B13" s="122" t="s">
        <v>83</v>
      </c>
      <c r="C13" s="46">
        <f>C11-C12</f>
        <v>17050</v>
      </c>
      <c r="D13" s="46">
        <f t="shared" ref="D13" si="14">D11-D12</f>
        <v>-462477</v>
      </c>
      <c r="E13" s="46">
        <f t="shared" ref="E13" si="15">E11-E12</f>
        <v>-228665</v>
      </c>
      <c r="F13" s="46">
        <f t="shared" ref="F13" si="16">F11-F12</f>
        <v>-365418</v>
      </c>
      <c r="G13" s="46">
        <f t="shared" ref="G13" si="17">G11-G12</f>
        <v>-361387</v>
      </c>
      <c r="H13" s="46">
        <f t="shared" ref="H13" si="18">H11-H12</f>
        <v>-639742</v>
      </c>
      <c r="I13" s="46">
        <f t="shared" ref="I13" si="19">I11-I12</f>
        <v>-487387</v>
      </c>
      <c r="J13" s="46">
        <f t="shared" ref="J13" si="20">J11-J12</f>
        <v>-405193</v>
      </c>
      <c r="K13" s="46">
        <f t="shared" ref="K13" si="21">K11-K12</f>
        <v>-1792251</v>
      </c>
      <c r="L13" s="46">
        <f t="shared" ref="L13" si="22">L11-L12</f>
        <v>-652775</v>
      </c>
      <c r="M13" s="46">
        <f t="shared" ref="M13" si="23">M11-M12</f>
        <v>-711662</v>
      </c>
      <c r="N13" s="46">
        <f t="shared" ref="N13" si="24">N11-N12</f>
        <v>-550607</v>
      </c>
      <c r="O13" s="46">
        <f t="shared" ref="O13" si="25">O11-O12</f>
        <v>-6640514</v>
      </c>
      <c r="P13" s="134"/>
      <c r="Q13" s="140"/>
    </row>
    <row r="14" spans="1:17" ht="22.5" customHeight="1">
      <c r="A14" s="23" t="s">
        <v>86</v>
      </c>
      <c r="B14" s="120" t="s">
        <v>81</v>
      </c>
      <c r="C14" s="125">
        <v>1528064.3399999999</v>
      </c>
      <c r="D14" s="125">
        <v>518344.34000000008</v>
      </c>
      <c r="E14" s="125">
        <v>1100404.3400000001</v>
      </c>
      <c r="F14" s="125">
        <v>1197414.3400000001</v>
      </c>
      <c r="G14" s="125">
        <v>1294424.3400000001</v>
      </c>
      <c r="H14" s="125">
        <v>906384.34000000008</v>
      </c>
      <c r="I14" s="125">
        <v>1334708.3400000001</v>
      </c>
      <c r="J14" s="125">
        <v>1334708.3400000001</v>
      </c>
      <c r="K14" s="125">
        <v>4886697.3499999996</v>
      </c>
      <c r="L14" s="125">
        <v>4854196.3499999996</v>
      </c>
      <c r="M14" s="125">
        <v>4854196.3499999996</v>
      </c>
      <c r="N14" s="125">
        <v>1614868.35</v>
      </c>
      <c r="O14" s="125">
        <f>SUM(C14:N14)</f>
        <v>25424411.120000005</v>
      </c>
      <c r="P14" s="136">
        <f>O14/$O$5</f>
        <v>0.5047855108992928</v>
      </c>
      <c r="Q14" s="139">
        <f>O14/90000000</f>
        <v>0.28249345688888894</v>
      </c>
    </row>
    <row r="15" spans="1:17" ht="22.5" customHeight="1">
      <c r="A15" s="23"/>
      <c r="B15" s="24" t="s">
        <v>82</v>
      </c>
      <c r="C15" s="126">
        <v>555262</v>
      </c>
      <c r="D15" s="127">
        <v>319352</v>
      </c>
      <c r="E15" s="127">
        <v>1149799</v>
      </c>
      <c r="F15" s="127">
        <v>1044881</v>
      </c>
      <c r="G15" s="127">
        <v>3132935</v>
      </c>
      <c r="H15" s="127">
        <v>1438262</v>
      </c>
      <c r="I15" s="127">
        <v>2792976</v>
      </c>
      <c r="J15" s="127">
        <v>4631460</v>
      </c>
      <c r="K15" s="127">
        <v>3548219</v>
      </c>
      <c r="L15" s="127">
        <v>2017894</v>
      </c>
      <c r="M15" s="127">
        <v>5559674</v>
      </c>
      <c r="N15" s="127">
        <v>2334487</v>
      </c>
      <c r="O15" s="127">
        <f>SUM(C15:N15)</f>
        <v>28525201</v>
      </c>
      <c r="P15" s="134">
        <f>O15/$O$6</f>
        <v>0.45396951000752073</v>
      </c>
      <c r="Q15" s="140">
        <f>O15/82439377.96</f>
        <v>0.34601426776704419</v>
      </c>
    </row>
    <row r="16" spans="1:17" ht="22.5" customHeight="1">
      <c r="A16" s="23"/>
      <c r="B16" s="122" t="s">
        <v>83</v>
      </c>
      <c r="C16" s="46">
        <f>C14-C15</f>
        <v>972802.33999999985</v>
      </c>
      <c r="D16" s="46">
        <f t="shared" ref="D16" si="26">D14-D15</f>
        <v>198992.34000000008</v>
      </c>
      <c r="E16" s="46">
        <f t="shared" ref="E16" si="27">E14-E15</f>
        <v>-49394.659999999916</v>
      </c>
      <c r="F16" s="46">
        <f t="shared" ref="F16" si="28">F14-F15</f>
        <v>152533.34000000008</v>
      </c>
      <c r="G16" s="46">
        <f t="shared" ref="G16" si="29">G14-G15</f>
        <v>-1838510.66</v>
      </c>
      <c r="H16" s="46">
        <f t="shared" ref="H16" si="30">H14-H15</f>
        <v>-531877.65999999992</v>
      </c>
      <c r="I16" s="46">
        <f t="shared" ref="I16" si="31">I14-I15</f>
        <v>-1458267.66</v>
      </c>
      <c r="J16" s="46">
        <f t="shared" ref="J16" si="32">J14-J15</f>
        <v>-3296751.66</v>
      </c>
      <c r="K16" s="46">
        <f t="shared" ref="K16" si="33">K14-K15</f>
        <v>1338478.3499999996</v>
      </c>
      <c r="L16" s="46">
        <f t="shared" ref="L16" si="34">L14-L15</f>
        <v>2836302.3499999996</v>
      </c>
      <c r="M16" s="46">
        <f t="shared" ref="M16" si="35">M14-M15</f>
        <v>-705477.65000000037</v>
      </c>
      <c r="N16" s="46">
        <f t="shared" ref="N16" si="36">N14-N15</f>
        <v>-719618.64999999991</v>
      </c>
      <c r="O16" s="46">
        <f t="shared" ref="O16" si="37">O14-O15</f>
        <v>-3100789.8799999952</v>
      </c>
      <c r="P16" s="134"/>
      <c r="Q16" s="140"/>
    </row>
    <row r="17" spans="1:18" ht="22.5" customHeight="1">
      <c r="A17" s="23" t="s">
        <v>87</v>
      </c>
      <c r="B17" s="120" t="s">
        <v>81</v>
      </c>
      <c r="C17" s="121">
        <v>105000</v>
      </c>
      <c r="D17" s="121">
        <v>517000</v>
      </c>
      <c r="E17" s="121">
        <v>819000</v>
      </c>
      <c r="F17" s="121">
        <v>256000</v>
      </c>
      <c r="G17" s="121">
        <v>150000</v>
      </c>
      <c r="H17" s="121">
        <v>466000</v>
      </c>
      <c r="I17" s="121">
        <v>87000</v>
      </c>
      <c r="J17" s="121">
        <v>920000</v>
      </c>
      <c r="K17" s="121">
        <v>595000</v>
      </c>
      <c r="L17" s="121">
        <v>323000</v>
      </c>
      <c r="M17" s="121">
        <v>336000</v>
      </c>
      <c r="N17" s="121">
        <v>176000</v>
      </c>
      <c r="O17" s="125">
        <v>4750000</v>
      </c>
      <c r="P17" s="136">
        <f>O17/$O$5</f>
        <v>9.4308228633286834E-2</v>
      </c>
      <c r="Q17" s="139">
        <f>O17/90000000</f>
        <v>5.2777777777777778E-2</v>
      </c>
    </row>
    <row r="18" spans="1:18" ht="22.5" customHeight="1">
      <c r="A18" s="23"/>
      <c r="B18" s="24" t="s">
        <v>82</v>
      </c>
      <c r="C18" s="46">
        <v>1057626.3999999999</v>
      </c>
      <c r="D18" s="46">
        <v>194891</v>
      </c>
      <c r="E18" s="46">
        <v>357603</v>
      </c>
      <c r="F18" s="46">
        <v>401696</v>
      </c>
      <c r="G18" s="46">
        <v>268583</v>
      </c>
      <c r="H18" s="46">
        <v>452067.3</v>
      </c>
      <c r="I18" s="46">
        <v>416208</v>
      </c>
      <c r="J18" s="46">
        <v>689858</v>
      </c>
      <c r="K18" s="46">
        <v>672423</v>
      </c>
      <c r="L18" s="46">
        <v>543919</v>
      </c>
      <c r="M18" s="46">
        <v>176342</v>
      </c>
      <c r="N18" s="46">
        <v>842572</v>
      </c>
      <c r="O18" s="46">
        <f>SUM(C18:N18)</f>
        <v>6073788.6999999993</v>
      </c>
      <c r="P18" s="134">
        <f>O18/$O$6</f>
        <v>9.6662417208846871E-2</v>
      </c>
      <c r="Q18" s="140">
        <f>O18/82439377.96</f>
        <v>7.3675819132781817E-2</v>
      </c>
    </row>
    <row r="19" spans="1:18" ht="22.5" customHeight="1">
      <c r="A19" s="23"/>
      <c r="B19" s="122" t="s">
        <v>83</v>
      </c>
      <c r="C19" s="46">
        <f>C17-C18</f>
        <v>-952626.39999999991</v>
      </c>
      <c r="D19" s="46">
        <f t="shared" ref="D19" si="38">D17-D18</f>
        <v>322109</v>
      </c>
      <c r="E19" s="46">
        <f t="shared" ref="E19" si="39">E17-E18</f>
        <v>461397</v>
      </c>
      <c r="F19" s="46">
        <f t="shared" ref="F19" si="40">F17-F18</f>
        <v>-145696</v>
      </c>
      <c r="G19" s="46">
        <f t="shared" ref="G19" si="41">G17-G18</f>
        <v>-118583</v>
      </c>
      <c r="H19" s="46">
        <f t="shared" ref="H19" si="42">H17-H18</f>
        <v>13932.700000000012</v>
      </c>
      <c r="I19" s="46">
        <f t="shared" ref="I19" si="43">I17-I18</f>
        <v>-329208</v>
      </c>
      <c r="J19" s="46">
        <f t="shared" ref="J19" si="44">J17-J18</f>
        <v>230142</v>
      </c>
      <c r="K19" s="46">
        <f t="shared" ref="K19" si="45">K17-K18</f>
        <v>-77423</v>
      </c>
      <c r="L19" s="46">
        <f t="shared" ref="L19" si="46">L17-L18</f>
        <v>-220919</v>
      </c>
      <c r="M19" s="46">
        <f t="shared" ref="M19" si="47">M17-M18</f>
        <v>159658</v>
      </c>
      <c r="N19" s="46">
        <f t="shared" ref="N19" si="48">N17-N18</f>
        <v>-666572</v>
      </c>
      <c r="O19" s="46">
        <f t="shared" ref="O19" si="49">O17-O18</f>
        <v>-1323788.6999999993</v>
      </c>
      <c r="P19" s="134"/>
      <c r="Q19" s="140"/>
    </row>
    <row r="20" spans="1:18" ht="19.5" customHeight="1">
      <c r="A20" s="23" t="s">
        <v>88</v>
      </c>
      <c r="B20" s="120" t="s">
        <v>81</v>
      </c>
      <c r="C20" s="128">
        <v>217090</v>
      </c>
      <c r="D20" s="128">
        <v>264590</v>
      </c>
      <c r="E20" s="128">
        <v>217090</v>
      </c>
      <c r="F20" s="128">
        <v>247477</v>
      </c>
      <c r="G20" s="128">
        <v>247477</v>
      </c>
      <c r="H20" s="128">
        <v>247477</v>
      </c>
      <c r="I20" s="128">
        <v>251227</v>
      </c>
      <c r="J20" s="128">
        <v>251227</v>
      </c>
      <c r="K20" s="128">
        <v>253627</v>
      </c>
      <c r="L20" s="128">
        <v>251227</v>
      </c>
      <c r="M20" s="128">
        <v>251227</v>
      </c>
      <c r="N20" s="128">
        <v>251227</v>
      </c>
      <c r="O20" s="125">
        <f>SUM(C20:N20)</f>
        <v>2950963</v>
      </c>
      <c r="P20" s="136">
        <f>O20/$O$5</f>
        <v>5.8589493324709474E-2</v>
      </c>
      <c r="Q20" s="139">
        <f>O20/90000000</f>
        <v>3.2788477777777776E-2</v>
      </c>
    </row>
    <row r="21" spans="1:18" ht="19.5" customHeight="1">
      <c r="A21" s="23"/>
      <c r="B21" s="24" t="s">
        <v>82</v>
      </c>
      <c r="C21" s="45">
        <v>345629.37</v>
      </c>
      <c r="D21" s="45">
        <v>211748.22</v>
      </c>
      <c r="E21" s="45">
        <v>271885</v>
      </c>
      <c r="F21" s="45">
        <v>218989</v>
      </c>
      <c r="G21" s="45">
        <v>509250</v>
      </c>
      <c r="H21" s="45">
        <v>284367</v>
      </c>
      <c r="I21" s="45">
        <v>629966.9</v>
      </c>
      <c r="J21" s="45">
        <v>428043</v>
      </c>
      <c r="K21" s="45">
        <v>424994</v>
      </c>
      <c r="L21" s="45">
        <v>411812</v>
      </c>
      <c r="M21" s="45">
        <v>456728</v>
      </c>
      <c r="N21" s="45">
        <v>530455</v>
      </c>
      <c r="O21" s="45">
        <f>SUM(C21:N21)</f>
        <v>4723867.49</v>
      </c>
      <c r="P21" s="134">
        <f>O21/$O$6</f>
        <v>7.5178850090337909E-2</v>
      </c>
      <c r="Q21" s="140">
        <f>O21/82439377.96</f>
        <v>5.7301105453416268E-2</v>
      </c>
    </row>
    <row r="22" spans="1:18" ht="19.5" customHeight="1">
      <c r="A22" s="23"/>
      <c r="B22" s="122" t="s">
        <v>83</v>
      </c>
      <c r="C22" s="46">
        <f>C20-C21</f>
        <v>-128539.37</v>
      </c>
      <c r="D22" s="46">
        <f t="shared" ref="D22" si="50">D20-D21</f>
        <v>52841.78</v>
      </c>
      <c r="E22" s="46">
        <f t="shared" ref="E22" si="51">E20-E21</f>
        <v>-54795</v>
      </c>
      <c r="F22" s="46">
        <f t="shared" ref="F22" si="52">F20-F21</f>
        <v>28488</v>
      </c>
      <c r="G22" s="46">
        <f t="shared" ref="G22" si="53">G20-G21</f>
        <v>-261773</v>
      </c>
      <c r="H22" s="46">
        <f t="shared" ref="H22" si="54">H20-H21</f>
        <v>-36890</v>
      </c>
      <c r="I22" s="46">
        <f t="shared" ref="I22" si="55">I20-I21</f>
        <v>-378739.9</v>
      </c>
      <c r="J22" s="46">
        <f t="shared" ref="J22" si="56">J20-J21</f>
        <v>-176816</v>
      </c>
      <c r="K22" s="46">
        <f t="shared" ref="K22" si="57">K20-K21</f>
        <v>-171367</v>
      </c>
      <c r="L22" s="46">
        <f t="shared" ref="L22" si="58">L20-L21</f>
        <v>-160585</v>
      </c>
      <c r="M22" s="46">
        <f t="shared" ref="M22" si="59">M20-M21</f>
        <v>-205501</v>
      </c>
      <c r="N22" s="46">
        <f t="shared" ref="N22" si="60">N20-N21</f>
        <v>-279228</v>
      </c>
      <c r="O22" s="46">
        <f t="shared" ref="O22" si="61">O20-O21</f>
        <v>-1772904.4900000002</v>
      </c>
      <c r="P22" s="134"/>
      <c r="Q22" s="22"/>
    </row>
    <row r="23" spans="1:18" ht="19.5" customHeight="1">
      <c r="A23" s="23" t="s">
        <v>89</v>
      </c>
      <c r="B23" s="120" t="s">
        <v>81</v>
      </c>
      <c r="C23" s="128">
        <v>335051</v>
      </c>
      <c r="D23" s="128">
        <v>305032</v>
      </c>
      <c r="E23" s="128">
        <v>245032</v>
      </c>
      <c r="F23" s="128">
        <v>245032</v>
      </c>
      <c r="G23" s="128">
        <v>265042</v>
      </c>
      <c r="H23" s="128">
        <v>205025</v>
      </c>
      <c r="I23" s="128">
        <v>255026</v>
      </c>
      <c r="J23" s="128">
        <v>305026</v>
      </c>
      <c r="K23" s="128">
        <v>405040</v>
      </c>
      <c r="L23" s="128">
        <v>465040</v>
      </c>
      <c r="M23" s="128">
        <v>425044</v>
      </c>
      <c r="N23" s="128">
        <v>465045</v>
      </c>
      <c r="O23" s="125">
        <v>3920435</v>
      </c>
      <c r="P23" s="136">
        <f>O23/$O$5</f>
        <v>7.7837743225671552E-2</v>
      </c>
      <c r="Q23" s="139">
        <f>O23/90000000</f>
        <v>4.3560388888888892E-2</v>
      </c>
    </row>
    <row r="24" spans="1:18" ht="19.5" customHeight="1">
      <c r="A24" s="23"/>
      <c r="B24" s="24" t="s">
        <v>82</v>
      </c>
      <c r="C24" s="45">
        <v>574740</v>
      </c>
      <c r="D24" s="45">
        <v>345044</v>
      </c>
      <c r="E24" s="45">
        <v>922326</v>
      </c>
      <c r="F24" s="45">
        <v>336260</v>
      </c>
      <c r="G24" s="45">
        <v>303953</v>
      </c>
      <c r="H24" s="45">
        <v>45818</v>
      </c>
      <c r="I24" s="45">
        <v>228639.5</v>
      </c>
      <c r="J24" s="45">
        <v>164725.5</v>
      </c>
      <c r="K24" s="45">
        <v>143151</v>
      </c>
      <c r="L24" s="45">
        <v>491894.18</v>
      </c>
      <c r="M24" s="45">
        <v>200129</v>
      </c>
      <c r="N24" s="45">
        <v>412289</v>
      </c>
      <c r="O24" s="127">
        <f>SUM(C24:N24)</f>
        <v>4168969.18</v>
      </c>
      <c r="P24" s="134">
        <f>O24/$O$6</f>
        <v>6.6347819806109543E-2</v>
      </c>
      <c r="Q24" s="140">
        <f>O24/82439377.96</f>
        <v>5.0570119318741162E-2</v>
      </c>
      <c r="R24" s="5"/>
    </row>
    <row r="25" spans="1:18" ht="19.5" customHeight="1">
      <c r="A25" s="23"/>
      <c r="B25" s="122" t="s">
        <v>83</v>
      </c>
      <c r="C25" s="46">
        <f>C23-C24</f>
        <v>-239689</v>
      </c>
      <c r="D25" s="46">
        <f t="shared" ref="D25" si="62">D23-D24</f>
        <v>-40012</v>
      </c>
      <c r="E25" s="46">
        <f t="shared" ref="E25" si="63">E23-E24</f>
        <v>-677294</v>
      </c>
      <c r="F25" s="46">
        <f t="shared" ref="F25" si="64">F23-F24</f>
        <v>-91228</v>
      </c>
      <c r="G25" s="46">
        <f t="shared" ref="G25" si="65">G23-G24</f>
        <v>-38911</v>
      </c>
      <c r="H25" s="46">
        <f t="shared" ref="H25" si="66">H23-H24</f>
        <v>159207</v>
      </c>
      <c r="I25" s="46">
        <f t="shared" ref="I25" si="67">I23-I24</f>
        <v>26386.5</v>
      </c>
      <c r="J25" s="46">
        <f t="shared" ref="J25" si="68">J23-J24</f>
        <v>140300.5</v>
      </c>
      <c r="K25" s="46">
        <f t="shared" ref="K25" si="69">K23-K24</f>
        <v>261889</v>
      </c>
      <c r="L25" s="46">
        <f t="shared" ref="L25" si="70">L23-L24</f>
        <v>-26854.179999999993</v>
      </c>
      <c r="M25" s="46">
        <f t="shared" ref="M25" si="71">M23-M24</f>
        <v>224915</v>
      </c>
      <c r="N25" s="46">
        <f t="shared" ref="N25" si="72">N23-N24</f>
        <v>52756</v>
      </c>
      <c r="O25" s="46">
        <f t="shared" ref="O25" si="73">O23-O24</f>
        <v>-248534.18000000017</v>
      </c>
      <c r="P25" s="134"/>
      <c r="Q25" s="141"/>
      <c r="R25" s="5"/>
    </row>
    <row r="26" spans="1:18" ht="19.5" customHeight="1">
      <c r="A26" s="23" t="s">
        <v>90</v>
      </c>
      <c r="B26" s="120" t="s">
        <v>81</v>
      </c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37"/>
      <c r="P26" s="136">
        <f>O26/$O$5</f>
        <v>0</v>
      </c>
      <c r="Q26" s="139">
        <f>O26/90000000</f>
        <v>0</v>
      </c>
      <c r="R26" s="5"/>
    </row>
    <row r="27" spans="1:18" ht="19.5" customHeight="1">
      <c r="A27" s="23"/>
      <c r="B27" s="24" t="s">
        <v>82</v>
      </c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v>100000</v>
      </c>
      <c r="O27" s="137">
        <f>SUM(C27:N27)</f>
        <v>100000</v>
      </c>
      <c r="P27" s="134">
        <f>O27/$O$6</f>
        <v>1.5914682249128437E-3</v>
      </c>
      <c r="Q27" s="140">
        <f>O27/82439377.96</f>
        <v>1.2130125490335518E-3</v>
      </c>
      <c r="R27" s="5"/>
    </row>
    <row r="28" spans="1:18" ht="19.5" customHeight="1">
      <c r="A28" s="130"/>
      <c r="B28" s="122" t="s">
        <v>83</v>
      </c>
      <c r="C28" s="46">
        <f>C26-C27</f>
        <v>0</v>
      </c>
      <c r="D28" s="46">
        <f t="shared" ref="D28" si="74">D26-D27</f>
        <v>0</v>
      </c>
      <c r="E28" s="46">
        <f t="shared" ref="E28" si="75">E26-E27</f>
        <v>0</v>
      </c>
      <c r="F28" s="46">
        <f t="shared" ref="F28" si="76">F26-F27</f>
        <v>0</v>
      </c>
      <c r="G28" s="46">
        <f t="shared" ref="G28" si="77">G26-G27</f>
        <v>0</v>
      </c>
      <c r="H28" s="46">
        <f t="shared" ref="H28" si="78">H26-H27</f>
        <v>0</v>
      </c>
      <c r="I28" s="46">
        <f t="shared" ref="I28" si="79">I26-I27</f>
        <v>0</v>
      </c>
      <c r="J28" s="46">
        <f t="shared" ref="J28" si="80">J26-J27</f>
        <v>0</v>
      </c>
      <c r="K28" s="46">
        <f t="shared" ref="K28" si="81">K26-K27</f>
        <v>0</v>
      </c>
      <c r="L28" s="46">
        <f t="shared" ref="L28" si="82">L26-L27</f>
        <v>0</v>
      </c>
      <c r="M28" s="46">
        <f t="shared" ref="M28" si="83">M26-M27</f>
        <v>0</v>
      </c>
      <c r="N28" s="46">
        <f t="shared" ref="N28" si="84">N26-N27</f>
        <v>-100000</v>
      </c>
      <c r="O28" s="46">
        <f t="shared" ref="O28" si="85">O26-O27</f>
        <v>-100000</v>
      </c>
      <c r="P28" s="138"/>
      <c r="Q28" s="138"/>
      <c r="R28" s="5"/>
    </row>
    <row r="29" spans="1:18" ht="19.5" customHeight="1">
      <c r="A29" s="131"/>
      <c r="B29" s="24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127"/>
      <c r="P29" s="5"/>
      <c r="Q29" s="5"/>
      <c r="R29" s="5"/>
    </row>
    <row r="30" spans="1:18" ht="19.5" customHeight="1">
      <c r="A30" s="28"/>
      <c r="B30" s="2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5"/>
      <c r="Q30" s="5"/>
      <c r="R30" s="5"/>
    </row>
    <row r="31" spans="1:18" ht="19.5" customHeight="1">
      <c r="A31" s="28"/>
      <c r="B31" s="2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</row>
    <row r="32" spans="1:18" ht="19.5" customHeight="1">
      <c r="A32" s="132" t="s">
        <v>62</v>
      </c>
      <c r="B32" s="132"/>
    </row>
    <row r="33" spans="1:17" ht="21.75" customHeight="1">
      <c r="A33" s="390" t="s">
        <v>266</v>
      </c>
      <c r="B33" s="390"/>
      <c r="C33" s="390"/>
      <c r="D33" s="390"/>
      <c r="E33" s="390"/>
      <c r="F33" s="390"/>
      <c r="G33" s="390"/>
      <c r="H33" s="390"/>
      <c r="I33" s="390"/>
      <c r="J33" s="390"/>
      <c r="K33" s="390"/>
      <c r="L33" s="390"/>
      <c r="M33" s="390"/>
      <c r="N33" s="390"/>
      <c r="O33" s="390"/>
      <c r="P33" s="390"/>
      <c r="Q33" s="390"/>
    </row>
    <row r="34" spans="1:17" s="29" customFormat="1" ht="18.75" customHeight="1">
      <c r="A34" s="391" t="s">
        <v>91</v>
      </c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1"/>
      <c r="P34" s="391"/>
      <c r="Q34" s="391"/>
    </row>
    <row r="35" spans="1:17" s="29" customFormat="1" ht="18.75" customHeight="1">
      <c r="A35" s="368" t="s">
        <v>92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</row>
    <row r="36" spans="1:17" s="29" customFormat="1" ht="18.75" customHeight="1">
      <c r="A36" s="391" t="s">
        <v>93</v>
      </c>
      <c r="B36" s="391"/>
      <c r="C36" s="368"/>
      <c r="D36" s="368"/>
      <c r="E36" s="368"/>
      <c r="F36" s="368"/>
      <c r="G36" s="368"/>
      <c r="H36" s="368"/>
      <c r="I36" s="368"/>
      <c r="J36" s="368"/>
      <c r="K36" s="368"/>
      <c r="L36" s="368"/>
      <c r="M36" s="368"/>
      <c r="N36" s="368"/>
      <c r="O36" s="368"/>
      <c r="P36" s="368"/>
      <c r="Q36" s="368"/>
    </row>
    <row r="37" spans="1:17" ht="18" customHeight="1">
      <c r="A37" s="391" t="s">
        <v>94</v>
      </c>
      <c r="B37" s="391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68"/>
      <c r="N37" s="368"/>
      <c r="O37" s="368"/>
      <c r="P37" s="368"/>
      <c r="Q37" s="368"/>
    </row>
    <row r="38" spans="1:17" ht="18" customHeight="1">
      <c r="A38" s="368" t="s">
        <v>95</v>
      </c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68"/>
      <c r="N38" s="368"/>
      <c r="O38" s="368"/>
      <c r="P38" s="368"/>
      <c r="Q38" s="368"/>
    </row>
    <row r="39" spans="1:17" ht="18" customHeight="1">
      <c r="A39" s="391" t="s">
        <v>96</v>
      </c>
      <c r="B39" s="391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</row>
    <row r="40" spans="1:17" ht="18" customHeight="1">
      <c r="A40" s="391" t="s">
        <v>97</v>
      </c>
      <c r="B40" s="391"/>
      <c r="C40" s="368"/>
      <c r="D40" s="368"/>
      <c r="E40" s="368"/>
      <c r="F40" s="368"/>
      <c r="G40" s="368"/>
      <c r="H40" s="368"/>
      <c r="I40" s="368"/>
      <c r="J40" s="368"/>
      <c r="K40" s="368"/>
      <c r="L40" s="368"/>
      <c r="M40" s="368"/>
      <c r="N40" s="368"/>
      <c r="O40" s="368"/>
      <c r="P40" s="368"/>
      <c r="Q40" s="368"/>
    </row>
    <row r="41" spans="1:17" ht="18" customHeight="1">
      <c r="A41" s="368" t="s">
        <v>98</v>
      </c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68"/>
      <c r="N41" s="368"/>
      <c r="O41" s="368"/>
      <c r="P41" s="368"/>
      <c r="Q41" s="368"/>
    </row>
    <row r="42" spans="1:17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57"/>
      <c r="N42" s="357"/>
      <c r="O42" s="357"/>
      <c r="P42" s="357"/>
      <c r="Q42" s="357"/>
    </row>
  </sheetData>
  <mergeCells count="14">
    <mergeCell ref="A41:Q41"/>
    <mergeCell ref="A42:Q42"/>
    <mergeCell ref="P3:P4"/>
    <mergeCell ref="Q3:Q4"/>
    <mergeCell ref="A36:Q36"/>
    <mergeCell ref="A37:Q37"/>
    <mergeCell ref="A38:Q38"/>
    <mergeCell ref="A39:Q39"/>
    <mergeCell ref="A40:Q40"/>
    <mergeCell ref="A1:Q1"/>
    <mergeCell ref="A2:Q2"/>
    <mergeCell ref="A33:Q33"/>
    <mergeCell ref="A34:Q34"/>
    <mergeCell ref="A35:Q35"/>
  </mergeCells>
  <phoneticPr fontId="7" type="noConversion"/>
  <pageMargins left="0.69930555555555596" right="0.69930555555555596" top="0.75" bottom="0.75" header="0.3" footer="0.3"/>
  <pageSetup paperSize="9" orientation="portrait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1"/>
  <sheetViews>
    <sheetView topLeftCell="A34" workbookViewId="0">
      <selection activeCell="E36" sqref="E36"/>
    </sheetView>
  </sheetViews>
  <sheetFormatPr defaultColWidth="9" defaultRowHeight="13.5"/>
  <cols>
    <col min="1" max="1" width="28.625" customWidth="1"/>
    <col min="2" max="2" width="22.125" customWidth="1"/>
    <col min="3" max="3" width="28" style="79" customWidth="1"/>
    <col min="4" max="5" width="15.375" customWidth="1"/>
    <col min="6" max="6" width="9" style="240"/>
  </cols>
  <sheetData>
    <row r="1" spans="1:6" ht="18.75">
      <c r="B1" s="388" t="s">
        <v>99</v>
      </c>
      <c r="C1" s="388"/>
      <c r="D1" s="388"/>
      <c r="E1" s="388"/>
    </row>
    <row r="2" spans="1:6" ht="14.25" thickBot="1">
      <c r="B2" s="389" t="s">
        <v>64</v>
      </c>
      <c r="C2" s="389"/>
      <c r="D2" s="389"/>
      <c r="E2" s="389"/>
    </row>
    <row r="3" spans="1:6" ht="16.5" thickBot="1">
      <c r="A3" s="398" t="s">
        <v>65</v>
      </c>
      <c r="B3" s="399"/>
      <c r="C3" s="402" t="s">
        <v>100</v>
      </c>
      <c r="D3" s="404" t="s">
        <v>78</v>
      </c>
      <c r="E3" s="400" t="s">
        <v>79</v>
      </c>
      <c r="F3" s="396" t="s">
        <v>268</v>
      </c>
    </row>
    <row r="4" spans="1:6" ht="15.75" thickBot="1">
      <c r="A4" s="80"/>
      <c r="B4" s="81" t="s">
        <v>38</v>
      </c>
      <c r="C4" s="403"/>
      <c r="D4" s="405"/>
      <c r="E4" s="401"/>
      <c r="F4" s="397"/>
    </row>
    <row r="5" spans="1:6" ht="15">
      <c r="A5" s="82" t="s">
        <v>101</v>
      </c>
      <c r="B5" s="83" t="s">
        <v>102</v>
      </c>
      <c r="C5" s="84">
        <v>70159990.540000007</v>
      </c>
      <c r="D5" s="221"/>
      <c r="E5" s="85"/>
    </row>
    <row r="6" spans="1:6" ht="15">
      <c r="A6" s="86"/>
      <c r="B6" s="206"/>
      <c r="C6" s="87"/>
      <c r="D6" s="88"/>
      <c r="E6" s="88"/>
    </row>
    <row r="7" spans="1:6" ht="15">
      <c r="A7" s="89" t="s">
        <v>103</v>
      </c>
      <c r="B7" s="23" t="s">
        <v>104</v>
      </c>
      <c r="C7" s="95">
        <f>SUM(C8:C11)</f>
        <v>14809489</v>
      </c>
      <c r="D7" s="90">
        <f t="shared" ref="D7:D47" si="0">C7/$C$63</f>
        <v>0.23568834122658569</v>
      </c>
      <c r="E7" s="90">
        <f>C7/$C$5</f>
        <v>0.2110816846754951</v>
      </c>
      <c r="F7" s="240">
        <v>0.26706038783129715</v>
      </c>
    </row>
    <row r="8" spans="1:6" ht="15">
      <c r="A8" s="86"/>
      <c r="B8" s="40" t="s">
        <v>105</v>
      </c>
      <c r="C8" s="91">
        <v>3925715</v>
      </c>
      <c r="D8" s="92">
        <f t="shared" si="0"/>
        <v>6.2476514650730071E-2</v>
      </c>
      <c r="E8" s="92">
        <f t="shared" ref="E8:E62" si="1">C8/$C$5</f>
        <v>5.5953756119192309E-2</v>
      </c>
      <c r="F8" s="243">
        <v>7.2389386999575159E-2</v>
      </c>
    </row>
    <row r="9" spans="1:6" ht="15">
      <c r="A9" s="86"/>
      <c r="B9" s="40" t="s">
        <v>106</v>
      </c>
      <c r="C9" s="93">
        <v>512090</v>
      </c>
      <c r="D9" s="92">
        <f t="shared" si="0"/>
        <v>8.1497506537006291E-3</v>
      </c>
      <c r="E9" s="92">
        <f t="shared" si="1"/>
        <v>7.2988892395594663E-3</v>
      </c>
      <c r="F9" s="243">
        <v>4.6640610129431319E-2</v>
      </c>
    </row>
    <row r="10" spans="1:6" ht="15">
      <c r="A10" s="86"/>
      <c r="B10" s="40" t="s">
        <v>107</v>
      </c>
      <c r="C10" s="94">
        <v>8624063</v>
      </c>
      <c r="D10" s="92">
        <f t="shared" si="0"/>
        <v>0.13724923953173349</v>
      </c>
      <c r="E10" s="92">
        <f t="shared" si="1"/>
        <v>0.12291995671070111</v>
      </c>
      <c r="F10" s="243">
        <v>0.12198352907424929</v>
      </c>
    </row>
    <row r="11" spans="1:6" ht="15">
      <c r="A11" s="86"/>
      <c r="B11" s="40" t="s">
        <v>108</v>
      </c>
      <c r="C11" s="91">
        <v>1747621</v>
      </c>
      <c r="D11" s="92">
        <f t="shared" si="0"/>
        <v>2.7812836390421501E-2</v>
      </c>
      <c r="E11" s="92">
        <f t="shared" si="1"/>
        <v>2.4909082606042209E-2</v>
      </c>
      <c r="F11" s="243">
        <v>2.6046861628041346E-2</v>
      </c>
    </row>
    <row r="12" spans="1:6" ht="16.5" customHeight="1">
      <c r="A12" s="86"/>
      <c r="B12" s="23" t="s">
        <v>109</v>
      </c>
      <c r="C12" s="220">
        <v>4168969</v>
      </c>
      <c r="D12" s="90">
        <f t="shared" si="0"/>
        <v>6.6347825251435594E-2</v>
      </c>
      <c r="E12" s="90">
        <f t="shared" si="1"/>
        <v>5.9420888855781187E-2</v>
      </c>
      <c r="F12" s="240">
        <v>6.422237165190714E-2</v>
      </c>
    </row>
    <row r="13" spans="1:6" ht="16.5" customHeight="1">
      <c r="A13" s="86"/>
      <c r="B13" s="23" t="s">
        <v>110</v>
      </c>
      <c r="C13" s="95"/>
      <c r="D13" s="90">
        <f t="shared" si="0"/>
        <v>0</v>
      </c>
      <c r="E13" s="90">
        <f t="shared" si="1"/>
        <v>0</v>
      </c>
      <c r="F13" s="240">
        <v>0</v>
      </c>
    </row>
    <row r="14" spans="1:6" ht="16.5" customHeight="1">
      <c r="A14" s="86"/>
      <c r="B14" s="96" t="s">
        <v>111</v>
      </c>
      <c r="C14" s="98">
        <f>SUM(C15:C17)</f>
        <v>1300492</v>
      </c>
      <c r="D14" s="90">
        <f t="shared" si="0"/>
        <v>2.0696919539792687E-2</v>
      </c>
      <c r="E14" s="90">
        <f t="shared" si="1"/>
        <v>1.8536091438874358E-2</v>
      </c>
      <c r="F14" s="240">
        <v>2.8461263663890526E-2</v>
      </c>
    </row>
    <row r="15" spans="1:6" ht="16.5" customHeight="1">
      <c r="A15" s="86"/>
      <c r="B15" s="20" t="s">
        <v>112</v>
      </c>
      <c r="C15" s="97">
        <v>541232</v>
      </c>
      <c r="D15" s="92">
        <f t="shared" si="0"/>
        <v>8.6135363818932199E-3</v>
      </c>
      <c r="E15" s="92">
        <f t="shared" si="1"/>
        <v>7.714254175838718E-3</v>
      </c>
      <c r="F15" s="243">
        <v>1.966936886520548E-2</v>
      </c>
    </row>
    <row r="16" spans="1:6" ht="16.5" customHeight="1">
      <c r="A16" s="86"/>
      <c r="B16" s="20" t="s">
        <v>113</v>
      </c>
      <c r="C16" s="97">
        <v>759260</v>
      </c>
      <c r="D16" s="92">
        <f t="shared" si="0"/>
        <v>1.2083383157899469E-2</v>
      </c>
      <c r="E16" s="92">
        <f t="shared" si="1"/>
        <v>1.0821837263035639E-2</v>
      </c>
      <c r="F16" s="243">
        <v>8.7918947986850467E-3</v>
      </c>
    </row>
    <row r="17" spans="1:6" ht="16.5" customHeight="1">
      <c r="A17" s="86"/>
      <c r="B17" s="20" t="s">
        <v>114</v>
      </c>
      <c r="C17" s="98"/>
      <c r="D17" s="92">
        <f t="shared" si="0"/>
        <v>0</v>
      </c>
      <c r="E17" s="92">
        <f t="shared" si="1"/>
        <v>0</v>
      </c>
      <c r="F17" s="243">
        <v>0</v>
      </c>
    </row>
    <row r="18" spans="1:6" ht="16.5" customHeight="1">
      <c r="A18" s="86"/>
      <c r="B18" s="23" t="s">
        <v>115</v>
      </c>
      <c r="C18" s="219">
        <f>C19+C20</f>
        <v>542055</v>
      </c>
      <c r="D18" s="90">
        <f t="shared" si="0"/>
        <v>8.6266341670247302E-3</v>
      </c>
      <c r="E18" s="90">
        <f t="shared" si="1"/>
        <v>7.7259845080931214E-3</v>
      </c>
      <c r="F18" s="240">
        <v>1.3816196839879051E-2</v>
      </c>
    </row>
    <row r="19" spans="1:6" ht="16.5" customHeight="1">
      <c r="A19" s="86"/>
      <c r="B19" s="20" t="s">
        <v>112</v>
      </c>
      <c r="C19" s="109">
        <v>482935</v>
      </c>
      <c r="D19" s="92">
        <f t="shared" si="0"/>
        <v>7.6857580346128863E-3</v>
      </c>
      <c r="E19" s="92">
        <f t="shared" si="1"/>
        <v>6.8833390124912628E-3</v>
      </c>
      <c r="F19" s="243">
        <v>1.2598316740089316E-2</v>
      </c>
    </row>
    <row r="20" spans="1:6" ht="16.5" customHeight="1">
      <c r="A20" s="86"/>
      <c r="B20" s="20" t="s">
        <v>116</v>
      </c>
      <c r="C20" s="102">
        <v>59120</v>
      </c>
      <c r="D20" s="92">
        <f t="shared" si="0"/>
        <v>9.4087613241184396E-4</v>
      </c>
      <c r="E20" s="92">
        <f t="shared" si="1"/>
        <v>8.4264549560185832E-4</v>
      </c>
      <c r="F20" s="243">
        <v>1.217880099789735E-3</v>
      </c>
    </row>
    <row r="21" spans="1:6" ht="16.5" customHeight="1">
      <c r="A21" s="86"/>
      <c r="B21" s="23" t="s">
        <v>117</v>
      </c>
      <c r="C21" s="103">
        <f>SUM(C22:C23)</f>
        <v>95630</v>
      </c>
      <c r="D21" s="90">
        <f t="shared" si="0"/>
        <v>1.5219212541025817E-3</v>
      </c>
      <c r="E21" s="90">
        <f t="shared" si="1"/>
        <v>1.3630275498038855E-3</v>
      </c>
      <c r="F21" s="240">
        <v>3.5260194614911886E-3</v>
      </c>
    </row>
    <row r="22" spans="1:6" s="76" customFormat="1" ht="16.5" customHeight="1">
      <c r="A22" s="99"/>
      <c r="B22" s="20" t="s">
        <v>118</v>
      </c>
      <c r="C22" s="102">
        <v>54180</v>
      </c>
      <c r="D22" s="92">
        <f t="shared" si="0"/>
        <v>8.6225759225429135E-4</v>
      </c>
      <c r="E22" s="92">
        <f t="shared" si="1"/>
        <v>7.7223499580021454E-4</v>
      </c>
      <c r="F22" s="241">
        <v>5.0955381718552643E-4</v>
      </c>
    </row>
    <row r="23" spans="1:6" s="76" customFormat="1" ht="16.5" customHeight="1">
      <c r="A23" s="99"/>
      <c r="B23" s="205" t="s">
        <v>119</v>
      </c>
      <c r="C23" s="102">
        <v>41450</v>
      </c>
      <c r="D23" s="92">
        <f t="shared" si="0"/>
        <v>6.5966366184829048E-4</v>
      </c>
      <c r="E23" s="92">
        <f t="shared" si="1"/>
        <v>5.9079255400367099E-4</v>
      </c>
      <c r="F23" s="241">
        <v>3.0164656443056621E-3</v>
      </c>
    </row>
    <row r="24" spans="1:6" s="76" customFormat="1" ht="16.5" customHeight="1">
      <c r="A24" s="99"/>
      <c r="B24" s="23" t="s">
        <v>120</v>
      </c>
      <c r="C24" s="103">
        <f>C25+C26</f>
        <v>1461594</v>
      </c>
      <c r="D24" s="101">
        <f t="shared" si="0"/>
        <v>2.3260807000614964E-2</v>
      </c>
      <c r="E24" s="221">
        <f t="shared" si="1"/>
        <v>2.083230041438942E-2</v>
      </c>
      <c r="F24" s="241">
        <v>9.9785932469753699E-3</v>
      </c>
    </row>
    <row r="25" spans="1:6" s="76" customFormat="1" ht="16.5" customHeight="1">
      <c r="A25" s="99"/>
      <c r="B25" s="20" t="s">
        <v>118</v>
      </c>
      <c r="C25" s="102">
        <v>874849</v>
      </c>
      <c r="D25" s="92">
        <f t="shared" si="0"/>
        <v>1.3922945594796503E-2</v>
      </c>
      <c r="E25" s="92">
        <f t="shared" si="1"/>
        <v>1.2469343186430821E-2</v>
      </c>
      <c r="F25" s="241">
        <v>9.9785932469753699E-3</v>
      </c>
    </row>
    <row r="26" spans="1:6" s="76" customFormat="1" ht="16.5" customHeight="1">
      <c r="A26" s="99"/>
      <c r="B26" s="205" t="s">
        <v>119</v>
      </c>
      <c r="C26" s="102">
        <v>586745</v>
      </c>
      <c r="D26" s="92">
        <f t="shared" si="0"/>
        <v>9.3378614058184598E-3</v>
      </c>
      <c r="E26" s="92">
        <f t="shared" si="1"/>
        <v>8.3629572279585989E-3</v>
      </c>
      <c r="F26" s="241">
        <v>0</v>
      </c>
    </row>
    <row r="27" spans="1:6" s="76" customFormat="1" ht="16.5" customHeight="1">
      <c r="A27" s="99"/>
      <c r="B27" s="23" t="s">
        <v>121</v>
      </c>
      <c r="C27" s="103">
        <v>4603081</v>
      </c>
      <c r="D27" s="90">
        <f t="shared" si="0"/>
        <v>7.3256580657280843E-2</v>
      </c>
      <c r="E27" s="221">
        <f t="shared" si="1"/>
        <v>6.5608346930657951E-2</v>
      </c>
      <c r="F27" s="241">
        <v>4.8163145104744787E-2</v>
      </c>
    </row>
    <row r="28" spans="1:6" ht="16.5" customHeight="1">
      <c r="A28" s="86"/>
      <c r="B28" s="23" t="s">
        <v>122</v>
      </c>
      <c r="C28" s="103">
        <f>SUM(C29:C32)</f>
        <v>655782</v>
      </c>
      <c r="D28" s="90">
        <f t="shared" si="0"/>
        <v>1.0436563461862379E-2</v>
      </c>
      <c r="E28" s="90">
        <f t="shared" si="1"/>
        <v>9.3469510892553766E-3</v>
      </c>
      <c r="F28" s="240">
        <v>8.0953567014037872E-3</v>
      </c>
    </row>
    <row r="29" spans="1:6" ht="16.5" customHeight="1">
      <c r="A29" s="86"/>
      <c r="B29" s="20" t="s">
        <v>123</v>
      </c>
      <c r="C29" s="102">
        <v>90181</v>
      </c>
      <c r="D29" s="92">
        <f t="shared" si="0"/>
        <v>1.4352021396656376E-3</v>
      </c>
      <c r="E29" s="92">
        <f t="shared" si="1"/>
        <v>1.2853622029579024E-3</v>
      </c>
      <c r="F29" s="243">
        <v>1.3421208128439673E-4</v>
      </c>
    </row>
    <row r="30" spans="1:6" ht="16.5" customHeight="1">
      <c r="A30" s="86"/>
      <c r="B30" s="20" t="s">
        <v>124</v>
      </c>
      <c r="C30" s="102">
        <v>458246</v>
      </c>
      <c r="D30" s="92">
        <f t="shared" si="0"/>
        <v>7.2928403953517905E-3</v>
      </c>
      <c r="E30" s="92">
        <f t="shared" si="1"/>
        <v>6.5314432979967727E-3</v>
      </c>
      <c r="F30" s="243">
        <v>3.2037034337631795E-3</v>
      </c>
    </row>
    <row r="31" spans="1:6" ht="16.5" customHeight="1">
      <c r="A31" s="86"/>
      <c r="B31" s="205" t="s">
        <v>125</v>
      </c>
      <c r="C31" s="102">
        <v>107355</v>
      </c>
      <c r="D31" s="92">
        <f t="shared" si="0"/>
        <v>1.7085209268449511E-3</v>
      </c>
      <c r="E31" s="92">
        <f t="shared" si="1"/>
        <v>1.5301455883007021E-3</v>
      </c>
      <c r="F31" s="243">
        <v>4.7574411863562103E-3</v>
      </c>
    </row>
    <row r="32" spans="1:6" ht="16.5" customHeight="1">
      <c r="A32" s="86"/>
      <c r="B32" s="40" t="s">
        <v>126</v>
      </c>
      <c r="C32" s="102"/>
      <c r="D32" s="92">
        <f t="shared" si="0"/>
        <v>0</v>
      </c>
      <c r="E32" s="92">
        <f t="shared" si="1"/>
        <v>0</v>
      </c>
      <c r="F32" s="243">
        <v>0</v>
      </c>
    </row>
    <row r="33" spans="1:7" ht="16.5" customHeight="1">
      <c r="A33" s="86"/>
      <c r="B33" s="23" t="s">
        <v>127</v>
      </c>
      <c r="C33" s="103">
        <f>SUM(C34:C37)</f>
        <v>303837</v>
      </c>
      <c r="D33" s="90">
        <f t="shared" si="0"/>
        <v>4.8354699161640294E-3</v>
      </c>
      <c r="E33" s="90">
        <f t="shared" si="1"/>
        <v>4.3306305725166073E-3</v>
      </c>
      <c r="F33" s="240">
        <v>5.2845505268452686E-3</v>
      </c>
    </row>
    <row r="34" spans="1:7" ht="16.5" customHeight="1">
      <c r="A34" s="86"/>
      <c r="B34" s="20" t="s">
        <v>123</v>
      </c>
      <c r="C34" s="102">
        <v>47715</v>
      </c>
      <c r="D34" s="92">
        <f t="shared" si="0"/>
        <v>7.5936915862704897E-4</v>
      </c>
      <c r="E34" s="92">
        <f t="shared" si="1"/>
        <v>6.8008846114077587E-4</v>
      </c>
      <c r="F34" s="243">
        <v>1.1054275720584516E-3</v>
      </c>
    </row>
    <row r="35" spans="1:7" ht="16.5" customHeight="1">
      <c r="A35" s="86"/>
      <c r="B35" s="20" t="s">
        <v>124</v>
      </c>
      <c r="C35" s="102">
        <v>4440</v>
      </c>
      <c r="D35" s="92">
        <f t="shared" si="0"/>
        <v>7.0661198036342811E-5</v>
      </c>
      <c r="E35" s="92">
        <f t="shared" si="1"/>
        <v>6.3283930995809386E-5</v>
      </c>
      <c r="F35" s="243">
        <v>3.1278830088096618E-4</v>
      </c>
    </row>
    <row r="36" spans="1:7" ht="16.5" customHeight="1">
      <c r="A36" s="86"/>
      <c r="B36" s="20" t="s">
        <v>125</v>
      </c>
      <c r="C36" s="102">
        <v>185965</v>
      </c>
      <c r="D36" s="92">
        <f t="shared" si="0"/>
        <v>2.959574255141552E-3</v>
      </c>
      <c r="E36" s="92">
        <f t="shared" si="1"/>
        <v>2.6505847359539849E-3</v>
      </c>
      <c r="F36" s="243">
        <v>2.9248642615810998E-3</v>
      </c>
    </row>
    <row r="37" spans="1:7" ht="16.5" customHeight="1">
      <c r="A37" s="86"/>
      <c r="B37" s="20" t="s">
        <v>128</v>
      </c>
      <c r="C37" s="102">
        <v>65717</v>
      </c>
      <c r="D37" s="92">
        <f t="shared" si="0"/>
        <v>1.0458653043590857E-3</v>
      </c>
      <c r="E37" s="92">
        <f t="shared" si="1"/>
        <v>9.3667344442603727E-4</v>
      </c>
      <c r="F37" s="243">
        <v>9.4147039232475051E-4</v>
      </c>
    </row>
    <row r="38" spans="1:7" s="15" customFormat="1" ht="16.5" customHeight="1">
      <c r="A38" s="104"/>
      <c r="B38" s="96" t="s">
        <v>129</v>
      </c>
      <c r="C38" s="103">
        <v>190283</v>
      </c>
      <c r="D38" s="90">
        <f t="shared" si="0"/>
        <v>3.0282938617003196E-3</v>
      </c>
      <c r="E38" s="90">
        <f t="shared" si="1"/>
        <v>2.7121297841611706E-3</v>
      </c>
      <c r="F38" s="240">
        <v>3.6900400185653358E-3</v>
      </c>
    </row>
    <row r="39" spans="1:7" s="15" customFormat="1" ht="16.5" customHeight="1">
      <c r="A39" s="104"/>
      <c r="B39" s="23" t="s">
        <v>130</v>
      </c>
      <c r="C39" s="103">
        <v>204323</v>
      </c>
      <c r="D39" s="90">
        <f t="shared" si="0"/>
        <v>3.2517360284638904E-3</v>
      </c>
      <c r="E39" s="90">
        <f t="shared" si="1"/>
        <v>2.9122438362290007E-3</v>
      </c>
      <c r="F39" s="240">
        <v>7.4745122743951535E-4</v>
      </c>
    </row>
    <row r="40" spans="1:7" s="15" customFormat="1" ht="16.5" customHeight="1">
      <c r="A40" s="104"/>
      <c r="B40" s="23" t="s">
        <v>131</v>
      </c>
      <c r="C40" s="103">
        <v>114728</v>
      </c>
      <c r="D40" s="90">
        <f t="shared" si="0"/>
        <v>1.8258598937643104E-3</v>
      </c>
      <c r="E40" s="90">
        <f t="shared" si="1"/>
        <v>1.6352339719115359E-3</v>
      </c>
      <c r="F40" s="240">
        <v>2.0399687084944437E-3</v>
      </c>
    </row>
    <row r="41" spans="1:7" s="15" customFormat="1" ht="16.5" customHeight="1">
      <c r="A41" s="104"/>
      <c r="B41" s="23" t="s">
        <v>132</v>
      </c>
      <c r="C41" s="103">
        <v>161054</v>
      </c>
      <c r="D41" s="90">
        <f t="shared" si="0"/>
        <v>2.5631235559786386E-3</v>
      </c>
      <c r="E41" s="90">
        <f t="shared" si="1"/>
        <v>2.2955248249097041E-3</v>
      </c>
      <c r="F41" s="240">
        <v>8.2009222248066085E-3</v>
      </c>
    </row>
    <row r="42" spans="1:7" s="15" customFormat="1" ht="16.5" customHeight="1">
      <c r="A42" s="104"/>
      <c r="B42" s="204" t="s">
        <v>214</v>
      </c>
      <c r="C42" s="103">
        <v>269250</v>
      </c>
      <c r="D42" s="90">
        <f t="shared" si="0"/>
        <v>4.2850287322714646E-3</v>
      </c>
      <c r="E42" s="221">
        <f t="shared" si="1"/>
        <v>3.8376573019418196E-3</v>
      </c>
      <c r="F42" s="240">
        <v>0</v>
      </c>
    </row>
    <row r="43" spans="1:7" s="15" customFormat="1" ht="16.5" customHeight="1">
      <c r="A43" s="104"/>
      <c r="B43" s="23"/>
      <c r="C43" s="103"/>
      <c r="D43" s="90">
        <f t="shared" si="0"/>
        <v>0</v>
      </c>
      <c r="E43" s="90">
        <f t="shared" si="1"/>
        <v>0</v>
      </c>
      <c r="F43" s="240">
        <v>1.4739245551914175E-3</v>
      </c>
    </row>
    <row r="44" spans="1:7" s="15" customFormat="1" ht="16.5" customHeight="1">
      <c r="A44" s="104"/>
      <c r="B44" s="23" t="s">
        <v>133</v>
      </c>
      <c r="C44" s="103">
        <f>SUM(C45:C47)</f>
        <v>650838</v>
      </c>
      <c r="D44" s="90">
        <f t="shared" si="0"/>
        <v>1.0357881262967857E-2</v>
      </c>
      <c r="E44" s="221">
        <f t="shared" si="1"/>
        <v>9.2764835769032859E-3</v>
      </c>
      <c r="F44" s="240">
        <v>1.0443740674288425E-3</v>
      </c>
    </row>
    <row r="45" spans="1:7" s="15" customFormat="1" ht="16.5" customHeight="1">
      <c r="A45" s="104"/>
      <c r="B45" s="20" t="s">
        <v>123</v>
      </c>
      <c r="C45" s="102">
        <v>8839</v>
      </c>
      <c r="D45" s="92">
        <f t="shared" si="0"/>
        <v>1.4066989401874643E-4</v>
      </c>
      <c r="E45" s="92">
        <f t="shared" si="1"/>
        <v>1.2598348334954035E-4</v>
      </c>
      <c r="F45" s="243">
        <v>4.2955048776257496E-4</v>
      </c>
      <c r="G45" s="49"/>
    </row>
    <row r="46" spans="1:7" s="15" customFormat="1" ht="16.5" customHeight="1">
      <c r="A46" s="104"/>
      <c r="B46" s="20" t="s">
        <v>124</v>
      </c>
      <c r="C46" s="102">
        <v>64481</v>
      </c>
      <c r="D46" s="92">
        <f t="shared" si="0"/>
        <v>1.0261947546354551E-3</v>
      </c>
      <c r="E46" s="92">
        <f t="shared" si="1"/>
        <v>9.190565663380147E-4</v>
      </c>
      <c r="F46" s="243">
        <v>0</v>
      </c>
    </row>
    <row r="47" spans="1:7" s="15" customFormat="1" ht="16.5" customHeight="1">
      <c r="A47" s="104"/>
      <c r="B47" s="205" t="s">
        <v>125</v>
      </c>
      <c r="C47" s="224">
        <v>577518</v>
      </c>
      <c r="D47" s="92">
        <f t="shared" si="0"/>
        <v>9.1910166143136553E-3</v>
      </c>
      <c r="E47" s="92">
        <f t="shared" si="1"/>
        <v>8.2314435272157309E-3</v>
      </c>
      <c r="F47" s="243"/>
    </row>
    <row r="48" spans="1:7" s="15" customFormat="1" ht="16.5" customHeight="1">
      <c r="A48" s="104"/>
      <c r="B48" s="20"/>
      <c r="C48" s="103"/>
      <c r="D48" s="92"/>
      <c r="E48" s="92"/>
    </row>
    <row r="49" spans="1:6" s="15" customFormat="1" ht="16.5" customHeight="1">
      <c r="A49" s="105" t="s">
        <v>134</v>
      </c>
      <c r="B49" s="23" t="s">
        <v>135</v>
      </c>
      <c r="C49" s="103">
        <f>SUM(C50:C56)</f>
        <v>26485549.25</v>
      </c>
      <c r="D49" s="101">
        <f t="shared" ref="D49:D56" si="2">C49/$C$63</f>
        <v>0.42150915330080202</v>
      </c>
      <c r="E49" s="101">
        <f t="shared" ref="E49" si="3">C49/$C$5</f>
        <v>0.37750217818088089</v>
      </c>
      <c r="F49" s="240">
        <v>0.32957628234013647</v>
      </c>
    </row>
    <row r="50" spans="1:6" s="77" customFormat="1" ht="16.5" customHeight="1">
      <c r="A50" s="106"/>
      <c r="B50" s="107" t="s">
        <v>136</v>
      </c>
      <c r="C50" s="102">
        <v>5227716</v>
      </c>
      <c r="D50" s="92">
        <f t="shared" si="2"/>
        <v>8.3197449449044572E-2</v>
      </c>
      <c r="E50" s="92">
        <f t="shared" si="1"/>
        <v>7.4511355542722674E-2</v>
      </c>
      <c r="F50" s="243">
        <v>0.13946819651116191</v>
      </c>
    </row>
    <row r="51" spans="1:6" s="77" customFormat="1" ht="16.5" customHeight="1">
      <c r="A51" s="106"/>
      <c r="B51" s="107" t="s">
        <v>137</v>
      </c>
      <c r="C51" s="102">
        <v>3871933.5</v>
      </c>
      <c r="D51" s="92">
        <f t="shared" si="2"/>
        <v>6.1620599060146386E-2</v>
      </c>
      <c r="E51" s="221">
        <f t="shared" si="1"/>
        <v>5.5187200998730347E-2</v>
      </c>
      <c r="F51" s="244">
        <v>4.7834005450028763E-2</v>
      </c>
    </row>
    <row r="52" spans="1:6" s="78" customFormat="1" ht="16.5" customHeight="1">
      <c r="A52" s="108"/>
      <c r="B52" s="107" t="s">
        <v>138</v>
      </c>
      <c r="C52" s="109">
        <v>16975408</v>
      </c>
      <c r="D52" s="92">
        <f t="shared" si="2"/>
        <v>0.27015825820624279</v>
      </c>
      <c r="E52" s="221">
        <f t="shared" si="1"/>
        <v>0.24195282623822312</v>
      </c>
      <c r="F52" s="244">
        <v>0.12763837227554017</v>
      </c>
    </row>
    <row r="53" spans="1:6" s="78" customFormat="1" ht="16.5" customHeight="1">
      <c r="A53" s="108"/>
      <c r="B53" s="107" t="s">
        <v>139</v>
      </c>
      <c r="C53" s="109">
        <v>118691.75</v>
      </c>
      <c r="D53" s="92">
        <f t="shared" si="2"/>
        <v>1.8889417234302008E-3</v>
      </c>
      <c r="E53" s="221">
        <f t="shared" si="1"/>
        <v>1.6917298461197881E-3</v>
      </c>
      <c r="F53" s="244">
        <v>4.1112880747294899E-4</v>
      </c>
    </row>
    <row r="54" spans="1:6" s="78" customFormat="1" ht="16.5" customHeight="1">
      <c r="A54" s="108"/>
      <c r="B54" s="107" t="s">
        <v>140</v>
      </c>
      <c r="C54" s="109">
        <v>36299</v>
      </c>
      <c r="D54" s="92">
        <f t="shared" si="2"/>
        <v>5.7768712331558736E-4</v>
      </c>
      <c r="E54" s="92">
        <f t="shared" si="1"/>
        <v>5.1737464216596507E-4</v>
      </c>
      <c r="F54" s="244">
        <v>3.0394082415471E-3</v>
      </c>
    </row>
    <row r="55" spans="1:6" s="78" customFormat="1" ht="16.5" customHeight="1">
      <c r="A55" s="108"/>
      <c r="B55" s="34" t="s">
        <v>141</v>
      </c>
      <c r="C55" s="109">
        <v>39526</v>
      </c>
      <c r="D55" s="92">
        <f t="shared" si="2"/>
        <v>6.2904380936587524E-4</v>
      </c>
      <c r="E55" s="92">
        <f t="shared" si="1"/>
        <v>5.6336951723882022E-4</v>
      </c>
      <c r="F55" s="244">
        <v>1.4131034341434436E-3</v>
      </c>
    </row>
    <row r="56" spans="1:6" s="78" customFormat="1" ht="16.5" customHeight="1">
      <c r="A56" s="108"/>
      <c r="B56" s="34" t="s">
        <v>142</v>
      </c>
      <c r="C56" s="109">
        <v>215975</v>
      </c>
      <c r="D56" s="92">
        <f t="shared" si="2"/>
        <v>3.4371739292565627E-3</v>
      </c>
      <c r="E56" s="92">
        <f t="shared" si="1"/>
        <v>3.078321395680165E-3</v>
      </c>
      <c r="F56" s="244">
        <v>9.7720676202421308E-3</v>
      </c>
    </row>
    <row r="57" spans="1:6" s="78" customFormat="1" ht="16.5" customHeight="1">
      <c r="A57" s="108"/>
      <c r="B57" s="96"/>
      <c r="C57" s="110"/>
      <c r="D57" s="90"/>
      <c r="E57" s="90"/>
      <c r="F57" s="244"/>
    </row>
    <row r="58" spans="1:6" s="78" customFormat="1" ht="16.5" customHeight="1">
      <c r="A58" s="105" t="s">
        <v>143</v>
      </c>
      <c r="B58" s="104" t="s">
        <v>144</v>
      </c>
      <c r="C58" s="102">
        <v>198435</v>
      </c>
      <c r="D58" s="90">
        <f>C58/$C$63</f>
        <v>3.1580303676445238E-3</v>
      </c>
      <c r="E58" s="90">
        <f t="shared" si="1"/>
        <v>2.8283213619714948E-3</v>
      </c>
      <c r="F58" s="242">
        <v>1.8584771312373603E-3</v>
      </c>
    </row>
    <row r="59" spans="1:6" s="78" customFormat="1" ht="15">
      <c r="A59" s="106"/>
      <c r="B59" s="104"/>
      <c r="C59" s="100"/>
      <c r="D59" s="90"/>
      <c r="E59" s="90"/>
      <c r="F59" s="242"/>
    </row>
    <row r="60" spans="1:6" s="78" customFormat="1" ht="15">
      <c r="A60" s="105" t="s">
        <v>145</v>
      </c>
      <c r="B60" s="104" t="s">
        <v>146</v>
      </c>
      <c r="C60" s="100">
        <v>0</v>
      </c>
      <c r="D60" s="90">
        <f>C60/$C$63</f>
        <v>0</v>
      </c>
      <c r="E60" s="90">
        <f t="shared" si="1"/>
        <v>0</v>
      </c>
      <c r="F60" s="242">
        <v>3.1688670222980497E-2</v>
      </c>
    </row>
    <row r="61" spans="1:6" s="78" customFormat="1" ht="15">
      <c r="A61" s="105"/>
      <c r="B61" s="104" t="s">
        <v>147</v>
      </c>
      <c r="C61" s="100">
        <v>5151944</v>
      </c>
      <c r="D61" s="90">
        <f t="shared" ref="D61:D62" si="4">C61/$C$63</f>
        <v>8.1991561994627954E-2</v>
      </c>
      <c r="E61" s="221">
        <f t="shared" si="1"/>
        <v>7.3431366799611306E-2</v>
      </c>
      <c r="F61" s="242">
        <v>6.8000000000000005E-2</v>
      </c>
    </row>
    <row r="62" spans="1:6" s="78" customFormat="1" ht="15">
      <c r="A62" s="105"/>
      <c r="B62" s="104" t="s">
        <v>148</v>
      </c>
      <c r="C62" s="100">
        <v>1467718</v>
      </c>
      <c r="D62" s="90">
        <f t="shared" si="4"/>
        <v>2.335826852691554E-2</v>
      </c>
      <c r="E62" s="90">
        <f t="shared" si="1"/>
        <v>2.0919586629123282E-2</v>
      </c>
      <c r="F62" s="242">
        <v>3.5999999999999997E-2</v>
      </c>
    </row>
    <row r="63" spans="1:6">
      <c r="A63" s="111"/>
      <c r="B63" s="25" t="s">
        <v>56</v>
      </c>
      <c r="C63" s="112">
        <f>C7+C12+C13+C14+C18+C21+C24+C27+C28+C33+C38+C58+C39+C40+C41+C42+C44+C49+C60+C61+C62</f>
        <v>62835051.25</v>
      </c>
      <c r="D63" s="113"/>
      <c r="E63" s="222">
        <f>C63/C5</f>
        <v>0.89559663230251052</v>
      </c>
      <c r="F63" s="242">
        <v>0.93</v>
      </c>
    </row>
    <row r="64" spans="1:6">
      <c r="A64" s="114" t="s">
        <v>149</v>
      </c>
      <c r="C64" s="115">
        <f>C5-C63</f>
        <v>7324939.2900000066</v>
      </c>
    </row>
    <row r="65" spans="1:4">
      <c r="A65" s="116"/>
      <c r="C65" s="115"/>
    </row>
    <row r="66" spans="1:4">
      <c r="A66" t="s">
        <v>62</v>
      </c>
    </row>
    <row r="67" spans="1:4">
      <c r="C67" s="117"/>
    </row>
    <row r="68" spans="1:4">
      <c r="A68" s="357"/>
      <c r="B68" s="357"/>
      <c r="C68" s="357"/>
    </row>
    <row r="69" spans="1:4">
      <c r="A69" s="357"/>
      <c r="B69" s="357"/>
      <c r="C69" s="357"/>
    </row>
    <row r="70" spans="1:4">
      <c r="A70" s="357"/>
      <c r="B70" s="357"/>
      <c r="C70" s="357"/>
    </row>
    <row r="71" spans="1:4">
      <c r="A71" s="357"/>
      <c r="B71" s="357"/>
      <c r="C71" s="357"/>
      <c r="D71" s="118"/>
    </row>
  </sheetData>
  <mergeCells count="11">
    <mergeCell ref="A69:C69"/>
    <mergeCell ref="A70:C70"/>
    <mergeCell ref="A71:C71"/>
    <mergeCell ref="C3:C4"/>
    <mergeCell ref="D3:D4"/>
    <mergeCell ref="F3:F4"/>
    <mergeCell ref="B1:E1"/>
    <mergeCell ref="B2:E2"/>
    <mergeCell ref="A3:B3"/>
    <mergeCell ref="A68:C68"/>
    <mergeCell ref="E3:E4"/>
  </mergeCells>
  <phoneticPr fontId="7" type="noConversion"/>
  <pageMargins left="0.69930555555555596" right="0.69930555555555596" top="0.75" bottom="0.75" header="0.3" footer="0.3"/>
  <pageSetup paperSize="9" orientation="portrait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6"/>
  <sheetViews>
    <sheetView tabSelected="1" workbookViewId="0">
      <selection activeCell="P19" sqref="P19"/>
    </sheetView>
  </sheetViews>
  <sheetFormatPr defaultColWidth="9" defaultRowHeight="13.5"/>
  <cols>
    <col min="1" max="1" width="18.625" customWidth="1"/>
    <col min="2" max="2" width="13" customWidth="1"/>
    <col min="3" max="7" width="10.375" customWidth="1"/>
    <col min="8" max="10" width="11" customWidth="1"/>
    <col min="11" max="11" width="12.5" customWidth="1"/>
    <col min="12" max="13" width="11" customWidth="1"/>
    <col min="14" max="14" width="15.875" customWidth="1"/>
    <col min="15" max="15" width="7.75" customWidth="1"/>
    <col min="16" max="16" width="15.125" customWidth="1"/>
    <col min="17" max="17" width="8.5" customWidth="1"/>
  </cols>
  <sheetData>
    <row r="1" spans="1:18" ht="18.75">
      <c r="A1" s="388"/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225"/>
    </row>
    <row r="3" spans="1:18" ht="18.75">
      <c r="A3" s="388" t="s">
        <v>150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225"/>
    </row>
    <row r="4" spans="1:18" ht="14.25" thickBot="1">
      <c r="A4" s="389" t="s">
        <v>151</v>
      </c>
      <c r="B4" s="389"/>
      <c r="C4" s="389"/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89"/>
      <c r="O4" s="246"/>
    </row>
    <row r="5" spans="1:18" s="15" customFormat="1" ht="26.25" customHeight="1" thickBot="1">
      <c r="A5" s="16" t="s">
        <v>65</v>
      </c>
      <c r="B5" s="50" t="s">
        <v>66</v>
      </c>
      <c r="C5" s="50" t="s">
        <v>67</v>
      </c>
      <c r="D5" s="50" t="s">
        <v>68</v>
      </c>
      <c r="E5" s="50" t="s">
        <v>69</v>
      </c>
      <c r="F5" s="50" t="s">
        <v>70</v>
      </c>
      <c r="G5" s="50" t="s">
        <v>71</v>
      </c>
      <c r="H5" s="50" t="s">
        <v>72</v>
      </c>
      <c r="I5" s="50" t="s">
        <v>73</v>
      </c>
      <c r="J5" s="50" t="s">
        <v>74</v>
      </c>
      <c r="K5" s="50" t="s">
        <v>75</v>
      </c>
      <c r="L5" s="50" t="s">
        <v>76</v>
      </c>
      <c r="M5" s="50" t="s">
        <v>77</v>
      </c>
      <c r="N5" s="70" t="s">
        <v>36</v>
      </c>
      <c r="O5" s="415" t="s">
        <v>252</v>
      </c>
      <c r="P5" s="411" t="s">
        <v>152</v>
      </c>
      <c r="Q5" s="415" t="s">
        <v>251</v>
      </c>
      <c r="R5" s="417" t="s">
        <v>153</v>
      </c>
    </row>
    <row r="6" spans="1:18" s="15" customFormat="1" ht="26.25" customHeight="1" thickBot="1">
      <c r="A6" s="51" t="s">
        <v>38</v>
      </c>
      <c r="B6" s="52" t="s">
        <v>39</v>
      </c>
      <c r="C6" s="52" t="s">
        <v>40</v>
      </c>
      <c r="D6" s="52" t="s">
        <v>41</v>
      </c>
      <c r="E6" s="52" t="s">
        <v>42</v>
      </c>
      <c r="F6" s="52" t="s">
        <v>43</v>
      </c>
      <c r="G6" s="52" t="s">
        <v>44</v>
      </c>
      <c r="H6" s="52" t="s">
        <v>45</v>
      </c>
      <c r="I6" s="52" t="s">
        <v>46</v>
      </c>
      <c r="J6" s="52" t="s">
        <v>47</v>
      </c>
      <c r="K6" s="52" t="s">
        <v>48</v>
      </c>
      <c r="L6" s="52" t="s">
        <v>49</v>
      </c>
      <c r="M6" s="52" t="s">
        <v>50</v>
      </c>
      <c r="N6" s="52" t="s">
        <v>51</v>
      </c>
      <c r="O6" s="416"/>
      <c r="P6" s="412"/>
      <c r="Q6" s="416"/>
      <c r="R6" s="418"/>
    </row>
    <row r="7" spans="1:18" s="22" customFormat="1" ht="26.25" customHeight="1">
      <c r="A7" s="31" t="s">
        <v>154</v>
      </c>
      <c r="B7" s="211">
        <f>收入明细!C16+收入明细!C18+收入明细!C20+收入明细!C22</f>
        <v>7631231.7100000009</v>
      </c>
      <c r="C7" s="211">
        <f>收入明细!D16+收入明细!D18+收入明细!D20+收入明细!D22</f>
        <v>3366647.5199999996</v>
      </c>
      <c r="D7" s="211">
        <f>收入明细!E16+收入明细!E18+收入明细!E20+收入明细!E22</f>
        <v>3850062.14</v>
      </c>
      <c r="E7" s="211">
        <f>收入明细!F16+收入明细!F18+收入明细!F20+收入明细!F22</f>
        <v>4075445.01</v>
      </c>
      <c r="F7" s="211">
        <f>收入明细!G16+收入明细!G18+收入明细!G20+收入明细!G22</f>
        <v>3974730.05</v>
      </c>
      <c r="G7" s="211">
        <f>收入明细!H16+收入明细!H18+收入明细!H20+收入明细!H22</f>
        <v>3082882.33</v>
      </c>
      <c r="H7" s="211">
        <f>收入明细!I16+收入明细!I18+收入明细!I20+收入明细!I22</f>
        <v>4131488.3499999996</v>
      </c>
      <c r="I7" s="211">
        <f>收入明细!J16+收入明细!J18+收入明细!J20+收入明细!J22</f>
        <v>4632674.79</v>
      </c>
      <c r="J7" s="211">
        <f>收入明细!K16+收入明细!K18+收入明细!K20+收入明细!K22</f>
        <v>7099942.0899999999</v>
      </c>
      <c r="K7" s="211">
        <f>收入明细!L16+收入明细!L18+收入明细!L20+收入明细!L22</f>
        <v>10538311.029999999</v>
      </c>
      <c r="L7" s="211">
        <f>收入明细!M16+收入明细!M18+收入明细!M20+收入明细!M22</f>
        <v>8224756.6299999999</v>
      </c>
      <c r="M7" s="211">
        <f>收入明细!N16+收入明细!N18+收入明细!N20+收入明细!N22</f>
        <v>9551818.8900000006</v>
      </c>
      <c r="N7" s="208">
        <f>SUM(B7:M7)</f>
        <v>70159990.540000021</v>
      </c>
      <c r="O7" s="208"/>
      <c r="P7" s="208">
        <v>47247658</v>
      </c>
      <c r="Q7" s="208"/>
      <c r="R7" s="140">
        <f>(N7-P7)/P7</f>
        <v>0.48494112745228601</v>
      </c>
    </row>
    <row r="8" spans="1:18" s="140" customFormat="1" ht="26.25" customHeight="1">
      <c r="A8" s="53" t="s">
        <v>155</v>
      </c>
      <c r="B8" s="212">
        <v>3284281.9049999998</v>
      </c>
      <c r="C8" s="212">
        <v>1493738.01</v>
      </c>
      <c r="D8" s="212">
        <v>1659211.5</v>
      </c>
      <c r="E8" s="212">
        <v>1751901.15</v>
      </c>
      <c r="F8" s="212">
        <v>1780497.48</v>
      </c>
      <c r="G8" s="212">
        <v>1348057.5</v>
      </c>
      <c r="H8" s="212">
        <v>2240353.5</v>
      </c>
      <c r="I8" s="212">
        <v>2436415.5</v>
      </c>
      <c r="J8" s="212">
        <v>3595884</v>
      </c>
      <c r="K8" s="212">
        <v>5267631</v>
      </c>
      <c r="L8" s="212">
        <v>4170471</v>
      </c>
      <c r="M8" s="212">
        <v>5176287</v>
      </c>
      <c r="N8" s="208">
        <f t="shared" ref="N8:N9" si="0">SUM(B8:M8)</f>
        <v>34204729.545000002</v>
      </c>
      <c r="O8" s="140">
        <f>N8/N7</f>
        <v>0.48752471717479784</v>
      </c>
      <c r="P8" s="209">
        <v>22782055</v>
      </c>
      <c r="Q8" s="140">
        <f>P8/P7</f>
        <v>0.48218379416816809</v>
      </c>
      <c r="R8" s="140">
        <f>(N8-P8)/P8</f>
        <v>0.50138912161348048</v>
      </c>
    </row>
    <row r="9" spans="1:18" s="22" customFormat="1" ht="26.25" customHeight="1">
      <c r="A9" s="53" t="s">
        <v>156</v>
      </c>
      <c r="B9" s="213">
        <f>B7-B8</f>
        <v>4346949.8050000016</v>
      </c>
      <c r="C9" s="213">
        <f t="shared" ref="C9:M9" si="1">C7-C8</f>
        <v>1872909.5099999995</v>
      </c>
      <c r="D9" s="213">
        <f t="shared" si="1"/>
        <v>2190850.64</v>
      </c>
      <c r="E9" s="213">
        <f t="shared" si="1"/>
        <v>2323543.86</v>
      </c>
      <c r="F9" s="213">
        <f t="shared" si="1"/>
        <v>2194232.5699999998</v>
      </c>
      <c r="G9" s="213">
        <f t="shared" si="1"/>
        <v>1734824.83</v>
      </c>
      <c r="H9" s="213">
        <f t="shared" si="1"/>
        <v>1891134.8499999996</v>
      </c>
      <c r="I9" s="213">
        <f t="shared" si="1"/>
        <v>2196259.29</v>
      </c>
      <c r="J9" s="213">
        <f t="shared" si="1"/>
        <v>3504058.09</v>
      </c>
      <c r="K9" s="213">
        <f t="shared" si="1"/>
        <v>5270680.0299999993</v>
      </c>
      <c r="L9" s="213">
        <f t="shared" si="1"/>
        <v>4054285.63</v>
      </c>
      <c r="M9" s="213">
        <f t="shared" si="1"/>
        <v>4375531.8900000006</v>
      </c>
      <c r="N9" s="208">
        <f t="shared" si="0"/>
        <v>35955260.995000005</v>
      </c>
      <c r="O9" s="214"/>
      <c r="P9" s="209">
        <v>24465603</v>
      </c>
      <c r="Q9" s="209"/>
      <c r="R9" s="140">
        <f>(N9-P9)/P9</f>
        <v>0.46962496673390819</v>
      </c>
    </row>
    <row r="10" spans="1:18" s="22" customFormat="1" ht="26.25" customHeight="1">
      <c r="A10" s="54" t="s">
        <v>157</v>
      </c>
      <c r="B10" s="210">
        <f>B9/B7</f>
        <v>0.56962623730894435</v>
      </c>
      <c r="C10" s="210">
        <f t="shared" ref="C10:M10" si="2">C9/C7</f>
        <v>0.55631291926872106</v>
      </c>
      <c r="D10" s="210">
        <f t="shared" si="2"/>
        <v>0.56904292978502424</v>
      </c>
      <c r="E10" s="210">
        <f t="shared" si="2"/>
        <v>0.57013255099717319</v>
      </c>
      <c r="F10" s="210">
        <f t="shared" si="2"/>
        <v>0.55204568420942191</v>
      </c>
      <c r="G10" s="210">
        <f t="shared" si="2"/>
        <v>0.56272820182533534</v>
      </c>
      <c r="H10" s="210">
        <f t="shared" si="2"/>
        <v>0.45773694363678885</v>
      </c>
      <c r="I10" s="210">
        <f t="shared" si="2"/>
        <v>0.47408017820305492</v>
      </c>
      <c r="J10" s="210">
        <f t="shared" si="2"/>
        <v>0.49353333387540349</v>
      </c>
      <c r="K10" s="210">
        <f t="shared" si="2"/>
        <v>0.50014466407336622</v>
      </c>
      <c r="L10" s="210">
        <f t="shared" si="2"/>
        <v>0.49293685058253206</v>
      </c>
      <c r="M10" s="210">
        <f t="shared" si="2"/>
        <v>0.45808363206936814</v>
      </c>
      <c r="N10" s="210">
        <f t="shared" ref="N10" si="3">N9/N7</f>
        <v>0.51247528282520194</v>
      </c>
      <c r="O10" s="210"/>
      <c r="P10" s="210">
        <v>0.51781620583183197</v>
      </c>
      <c r="Q10" s="210"/>
      <c r="R10" s="140">
        <f>N10-P10</f>
        <v>-5.3409230066300273E-3</v>
      </c>
    </row>
    <row r="11" spans="1:18" s="22" customFormat="1" ht="26.25" customHeight="1">
      <c r="A11" s="53" t="s">
        <v>158</v>
      </c>
      <c r="B11" s="213">
        <f>支出明细!C6-支出明细!C15+71585</f>
        <v>3475767.77</v>
      </c>
      <c r="C11" s="213">
        <f>支出明细!D6-支出明细!D15+71586</f>
        <v>2314111.2200000002</v>
      </c>
      <c r="D11" s="213">
        <f>支出明细!E6-支出明细!E15+248531</f>
        <v>3021864</v>
      </c>
      <c r="E11" s="213">
        <f>支出明细!F6-支出明细!F15+170721</f>
        <v>2356321</v>
      </c>
      <c r="F11" s="213">
        <f>支出明细!G6-支出明细!G15+627361</f>
        <v>3048346.75</v>
      </c>
      <c r="G11" s="213">
        <f>支出明细!H6-支出明细!H15+104835</f>
        <v>2374993.2999999998</v>
      </c>
      <c r="H11" s="213">
        <f>支出明细!I6-支出明细!I15+133517</f>
        <v>2793478.4000000004</v>
      </c>
      <c r="I11" s="213">
        <f>支出明细!J6-支出明细!J15+133408</f>
        <v>2788768.5</v>
      </c>
      <c r="J11" s="213">
        <f>支出明细!K6-支出明细!K15+136839</f>
        <v>3581210</v>
      </c>
      <c r="K11" s="213">
        <f>支出明细!L6-支出明细!L15+238553</f>
        <v>3883859.1799999997</v>
      </c>
      <c r="L11" s="213">
        <f>支出明细!M6-支出明细!M15+310231</f>
        <v>3234114</v>
      </c>
      <c r="M11" s="213">
        <f>支出明细!N6-支出明细!N15+202970</f>
        <v>3887161</v>
      </c>
      <c r="N11" s="215">
        <f>SUM(B11:M11)</f>
        <v>36759995.119999997</v>
      </c>
      <c r="O11" s="247">
        <f>N11/N7</f>
        <v>0.52394526904963268</v>
      </c>
      <c r="P11" s="22">
        <v>20223717.27</v>
      </c>
      <c r="Q11" s="140">
        <f>P11/P7</f>
        <v>0.42803639642836899</v>
      </c>
      <c r="R11" s="140">
        <f>(N11-P11)/P11</f>
        <v>0.8176675746219032</v>
      </c>
    </row>
    <row r="12" spans="1:18" s="22" customFormat="1" ht="26.25" customHeight="1">
      <c r="A12" s="53" t="s">
        <v>159</v>
      </c>
      <c r="B12" s="213">
        <f>B9-B11</f>
        <v>871182.03500000155</v>
      </c>
      <c r="C12" s="213">
        <f t="shared" ref="C12:M12" si="4">C9-C11</f>
        <v>-441201.71000000066</v>
      </c>
      <c r="D12" s="213">
        <f t="shared" si="4"/>
        <v>-831013.35999999987</v>
      </c>
      <c r="E12" s="213">
        <f t="shared" si="4"/>
        <v>-32777.14000000013</v>
      </c>
      <c r="F12" s="213">
        <f t="shared" si="4"/>
        <v>-854114.18000000017</v>
      </c>
      <c r="G12" s="213">
        <f t="shared" si="4"/>
        <v>-640168.46999999974</v>
      </c>
      <c r="H12" s="213">
        <f t="shared" si="4"/>
        <v>-902343.55000000075</v>
      </c>
      <c r="I12" s="213">
        <f t="shared" si="4"/>
        <v>-592509.21</v>
      </c>
      <c r="J12" s="213">
        <f t="shared" si="4"/>
        <v>-77151.910000000149</v>
      </c>
      <c r="K12" s="213">
        <f t="shared" si="4"/>
        <v>1386820.8499999996</v>
      </c>
      <c r="L12" s="213">
        <f t="shared" si="4"/>
        <v>820171.62999999989</v>
      </c>
      <c r="M12" s="213">
        <f t="shared" si="4"/>
        <v>488370.8900000006</v>
      </c>
      <c r="N12" s="216">
        <f>N7-N8-N11</f>
        <v>-804734.12499997765</v>
      </c>
      <c r="O12" s="216"/>
      <c r="P12" s="22">
        <v>4241885.7300000004</v>
      </c>
      <c r="R12" s="140">
        <f>(N12-P12)/P12</f>
        <v>-1.1897114104957225</v>
      </c>
    </row>
    <row r="13" spans="1:18" s="193" customFormat="1" ht="25.5" customHeight="1">
      <c r="A13" s="53" t="s">
        <v>160</v>
      </c>
      <c r="B13" s="55">
        <f>B12/B7</f>
        <v>0.11416008163641535</v>
      </c>
      <c r="C13" s="55">
        <f t="shared" ref="C13:N13" si="5">C12/C7</f>
        <v>-0.13105075817381701</v>
      </c>
      <c r="D13" s="55">
        <f t="shared" si="5"/>
        <v>-0.2158441421935075</v>
      </c>
      <c r="E13" s="55">
        <f t="shared" si="5"/>
        <v>-8.0425916481695163E-3</v>
      </c>
      <c r="F13" s="55">
        <f t="shared" si="5"/>
        <v>-0.21488608515690272</v>
      </c>
      <c r="G13" s="55">
        <f t="shared" si="5"/>
        <v>-0.20765258010999069</v>
      </c>
      <c r="H13" s="55">
        <f t="shared" si="5"/>
        <v>-0.21840641278826331</v>
      </c>
      <c r="I13" s="55">
        <f t="shared" si="5"/>
        <v>-0.12789786394654307</v>
      </c>
      <c r="J13" s="55">
        <f t="shared" si="5"/>
        <v>-1.0866554828477502E-2</v>
      </c>
      <c r="K13" s="55">
        <f t="shared" si="5"/>
        <v>0.13159801851094158</v>
      </c>
      <c r="L13" s="55">
        <f t="shared" si="5"/>
        <v>9.9719866118397227E-2</v>
      </c>
      <c r="M13" s="55">
        <f t="shared" si="5"/>
        <v>5.1128575156642292E-2</v>
      </c>
      <c r="N13" s="207">
        <f t="shared" si="5"/>
        <v>-1.1469986224430545E-2</v>
      </c>
      <c r="O13" s="207"/>
      <c r="P13" s="140">
        <v>8.9779809403462904E-2</v>
      </c>
      <c r="Q13" s="140"/>
      <c r="R13" s="140">
        <f>N13-P13</f>
        <v>-0.10124979562789345</v>
      </c>
    </row>
    <row r="14" spans="1:18" s="193" customFormat="1" ht="14.25">
      <c r="A14" s="27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71"/>
      <c r="O14" s="71"/>
    </row>
    <row r="15" spans="1:18" ht="24.75" customHeigh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409" t="s">
        <v>215</v>
      </c>
      <c r="O15" s="409"/>
      <c r="P15" s="409"/>
      <c r="Q15" s="226"/>
      <c r="R15" s="72"/>
    </row>
    <row r="16" spans="1:18" ht="19.5" customHeight="1">
      <c r="A16" s="27" t="s">
        <v>61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</row>
    <row r="17" spans="1:15" ht="19.5" customHeight="1">
      <c r="A17" s="2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ht="19.5" customHeight="1"/>
    <row r="19" spans="1:15" ht="19.5" customHeight="1"/>
    <row r="20" spans="1:15" ht="19.5" customHeight="1"/>
    <row r="21" spans="1:15" ht="19.5" customHeight="1" thickBot="1">
      <c r="B21" s="57" t="s">
        <v>161</v>
      </c>
      <c r="C21" s="58" t="s">
        <v>162</v>
      </c>
      <c r="D21" s="59" t="s">
        <v>163</v>
      </c>
      <c r="E21" s="60" t="s">
        <v>164</v>
      </c>
      <c r="F21" s="59" t="s">
        <v>165</v>
      </c>
      <c r="G21" s="73" t="s">
        <v>166</v>
      </c>
      <c r="H21" s="407" t="s">
        <v>167</v>
      </c>
      <c r="I21" s="408"/>
      <c r="J21" s="408"/>
    </row>
    <row r="22" spans="1:15" ht="19.5" customHeight="1">
      <c r="B22" s="61" t="s">
        <v>168</v>
      </c>
      <c r="C22" s="62">
        <f>N10</f>
        <v>0.51247528282520194</v>
      </c>
      <c r="D22" s="63">
        <v>0.52</v>
      </c>
      <c r="E22" s="64">
        <f>C22-D22</f>
        <v>-7.524717174798079E-3</v>
      </c>
      <c r="F22" s="63">
        <v>0.67</v>
      </c>
      <c r="G22" s="74">
        <f>D22-F22</f>
        <v>-0.15000000000000002</v>
      </c>
      <c r="H22" s="413" t="s">
        <v>169</v>
      </c>
      <c r="I22" s="413"/>
      <c r="J22" s="413"/>
    </row>
    <row r="23" spans="1:15" ht="19.5" customHeight="1">
      <c r="B23" s="61" t="s">
        <v>170</v>
      </c>
      <c r="C23" s="217">
        <f>N13</f>
        <v>-1.1469986224430545E-2</v>
      </c>
      <c r="D23" s="63">
        <v>0.09</v>
      </c>
      <c r="E23" s="64">
        <f>C23-D23</f>
        <v>-0.10146998622443054</v>
      </c>
      <c r="F23" s="63">
        <v>0.09</v>
      </c>
      <c r="G23" s="74">
        <f>D23-F23</f>
        <v>0</v>
      </c>
      <c r="H23" s="414"/>
      <c r="I23" s="414"/>
      <c r="J23" s="414"/>
    </row>
    <row r="24" spans="1:15" ht="19.5" customHeight="1">
      <c r="B24" s="61" t="s">
        <v>171</v>
      </c>
      <c r="C24" s="218">
        <f>N12/(N8+N11)</f>
        <v>-1.1339917526614104E-2</v>
      </c>
      <c r="D24" s="65">
        <f>P12/(P8+P11)</f>
        <v>9.8635264665600686E-2</v>
      </c>
      <c r="E24" s="64">
        <f>C24-D24</f>
        <v>-0.10997518219221479</v>
      </c>
      <c r="F24" s="66">
        <v>0.10199999999999999</v>
      </c>
      <c r="G24" s="74">
        <f>D24-F24</f>
        <v>-3.3647353343993075E-3</v>
      </c>
      <c r="H24" s="414"/>
      <c r="I24" s="414"/>
      <c r="J24" s="414"/>
    </row>
    <row r="25" spans="1:15" ht="19.5" customHeight="1">
      <c r="B25" s="67" t="s">
        <v>172</v>
      </c>
      <c r="C25" s="68">
        <v>-1.2800000000000001E-2</v>
      </c>
      <c r="D25" s="66">
        <v>0.156</v>
      </c>
      <c r="E25" s="64">
        <f>C25-D25</f>
        <v>-0.16880000000000001</v>
      </c>
      <c r="F25" s="66">
        <v>0.109</v>
      </c>
      <c r="G25" s="74">
        <f>D25-F25</f>
        <v>4.7E-2</v>
      </c>
      <c r="H25" s="414"/>
      <c r="I25" s="414"/>
      <c r="J25" s="414"/>
    </row>
    <row r="26" spans="1:15" ht="19.5" customHeight="1">
      <c r="B26" s="69"/>
      <c r="C26" s="68"/>
      <c r="D26" s="66"/>
      <c r="E26" s="64"/>
      <c r="F26" s="66"/>
      <c r="G26" s="74"/>
      <c r="H26" s="75"/>
      <c r="I26" s="75"/>
      <c r="J26" s="75"/>
    </row>
    <row r="27" spans="1:15" ht="19.5" customHeight="1">
      <c r="A27" s="368"/>
      <c r="B27" s="368"/>
      <c r="C27" s="368"/>
      <c r="D27" s="368"/>
      <c r="E27" s="368"/>
      <c r="F27" s="368"/>
      <c r="G27" s="368"/>
      <c r="H27" s="368"/>
    </row>
    <row r="28" spans="1:15">
      <c r="A28" s="368"/>
      <c r="B28" s="368"/>
      <c r="C28" s="368"/>
      <c r="D28" s="368"/>
      <c r="E28" s="368"/>
      <c r="F28" s="368"/>
      <c r="G28" s="368"/>
      <c r="H28" s="368"/>
    </row>
    <row r="29" spans="1:15">
      <c r="A29" s="410"/>
      <c r="B29" s="410"/>
      <c r="C29" s="410"/>
      <c r="D29" s="410"/>
      <c r="E29" s="410"/>
      <c r="F29" s="410"/>
      <c r="G29" s="410"/>
      <c r="H29" s="410"/>
    </row>
    <row r="30" spans="1:15">
      <c r="A30" s="410"/>
      <c r="B30" s="410"/>
      <c r="C30" s="410"/>
      <c r="D30" s="410"/>
      <c r="E30" s="410"/>
      <c r="F30" s="410"/>
      <c r="G30" s="410"/>
      <c r="H30" s="410"/>
    </row>
    <row r="31" spans="1:15">
      <c r="A31" s="410"/>
      <c r="B31" s="410"/>
      <c r="C31" s="410"/>
      <c r="D31" s="410"/>
      <c r="E31" s="410"/>
      <c r="F31" s="410"/>
      <c r="G31" s="410"/>
      <c r="H31" s="410"/>
    </row>
    <row r="32" spans="1:15">
      <c r="A32" s="410"/>
      <c r="B32" s="410"/>
      <c r="C32" s="410"/>
      <c r="D32" s="410"/>
      <c r="E32" s="410"/>
      <c r="F32" s="410"/>
      <c r="G32" s="410"/>
      <c r="H32" s="410"/>
    </row>
    <row r="33" spans="1:8">
      <c r="A33" s="410"/>
      <c r="B33" s="410"/>
      <c r="C33" s="410"/>
      <c r="D33" s="410"/>
      <c r="E33" s="410"/>
      <c r="F33" s="410"/>
      <c r="G33" s="410"/>
      <c r="H33" s="410"/>
    </row>
    <row r="34" spans="1:8">
      <c r="A34" s="410"/>
      <c r="B34" s="410"/>
      <c r="C34" s="410"/>
      <c r="D34" s="410"/>
      <c r="E34" s="410"/>
      <c r="F34" s="410"/>
      <c r="G34" s="410"/>
      <c r="H34" s="410"/>
    </row>
    <row r="35" spans="1:8">
      <c r="A35" s="410"/>
      <c r="B35" s="410"/>
      <c r="C35" s="410"/>
      <c r="D35" s="410"/>
      <c r="E35" s="410"/>
      <c r="F35" s="410"/>
      <c r="G35" s="410"/>
      <c r="H35" s="410"/>
    </row>
    <row r="36" spans="1:8">
      <c r="A36" s="410"/>
      <c r="B36" s="410"/>
      <c r="C36" s="410"/>
      <c r="D36" s="410"/>
      <c r="E36" s="410"/>
      <c r="F36" s="410"/>
      <c r="G36" s="410"/>
      <c r="H36" s="410"/>
    </row>
  </sheetData>
  <mergeCells count="20">
    <mergeCell ref="Q5:Q6"/>
    <mergeCell ref="R5:R6"/>
    <mergeCell ref="A34:H34"/>
    <mergeCell ref="A35:H35"/>
    <mergeCell ref="A36:H36"/>
    <mergeCell ref="P5:P6"/>
    <mergeCell ref="A28:H28"/>
    <mergeCell ref="A29:H29"/>
    <mergeCell ref="A30:H30"/>
    <mergeCell ref="A31:H31"/>
    <mergeCell ref="A32:H32"/>
    <mergeCell ref="A33:H33"/>
    <mergeCell ref="H22:J25"/>
    <mergeCell ref="O5:O6"/>
    <mergeCell ref="A1:N1"/>
    <mergeCell ref="A3:N3"/>
    <mergeCell ref="A4:N4"/>
    <mergeCell ref="H21:J21"/>
    <mergeCell ref="A27:H27"/>
    <mergeCell ref="N15:P15"/>
  </mergeCells>
  <phoneticPr fontId="7" type="noConversion"/>
  <pageMargins left="0.69930555555555596" right="0.69930555555555596" top="0.75" bottom="0.75" header="0.3" footer="0.3"/>
  <pageSetup paperSize="9" orientation="portrait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42"/>
  <sheetViews>
    <sheetView workbookViewId="0">
      <selection activeCell="J26" sqref="J26"/>
    </sheetView>
  </sheetViews>
  <sheetFormatPr defaultColWidth="9" defaultRowHeight="13.5"/>
  <cols>
    <col min="1" max="1" width="24.125" customWidth="1"/>
    <col min="2" max="2" width="13.625" customWidth="1"/>
    <col min="3" max="3" width="13.625" style="29" customWidth="1"/>
    <col min="4" max="7" width="13.625" customWidth="1"/>
    <col min="8" max="8" width="10" customWidth="1"/>
    <col min="9" max="9" width="10.25" customWidth="1"/>
    <col min="10" max="10" width="10.75" customWidth="1"/>
    <col min="11" max="11" width="9.5" bestFit="1" customWidth="1"/>
    <col min="15" max="15" width="8" customWidth="1"/>
    <col min="16" max="16" width="12.25" customWidth="1"/>
  </cols>
  <sheetData>
    <row r="1" spans="1:17" ht="18.75">
      <c r="A1" s="388" t="s">
        <v>173</v>
      </c>
      <c r="B1" s="388"/>
      <c r="C1" s="388"/>
      <c r="D1" s="388"/>
      <c r="E1" s="388"/>
      <c r="F1" s="388"/>
      <c r="G1" s="388"/>
    </row>
    <row r="2" spans="1:17">
      <c r="A2" s="389" t="s">
        <v>64</v>
      </c>
      <c r="B2" s="389"/>
      <c r="C2" s="389"/>
      <c r="D2" s="389"/>
      <c r="E2" s="389"/>
      <c r="F2" s="389"/>
      <c r="G2" s="389"/>
    </row>
    <row r="3" spans="1:17" ht="15.75">
      <c r="A3" s="16" t="s">
        <v>65</v>
      </c>
      <c r="B3" s="422" t="s">
        <v>174</v>
      </c>
      <c r="C3" s="423"/>
      <c r="D3" s="424" t="s">
        <v>175</v>
      </c>
      <c r="E3" s="425"/>
      <c r="F3" s="424" t="s">
        <v>176</v>
      </c>
      <c r="G3" s="425"/>
    </row>
    <row r="4" spans="1:17" s="15" customFormat="1" thickBot="1">
      <c r="A4" s="17" t="s">
        <v>38</v>
      </c>
      <c r="B4" s="18" t="s">
        <v>177</v>
      </c>
      <c r="C4" s="30" t="s">
        <v>178</v>
      </c>
      <c r="D4" s="18" t="s">
        <v>177</v>
      </c>
      <c r="E4" s="30" t="s">
        <v>178</v>
      </c>
      <c r="F4" s="18" t="s">
        <v>177</v>
      </c>
      <c r="G4" s="30" t="s">
        <v>178</v>
      </c>
    </row>
    <row r="5" spans="1:17" s="15" customFormat="1" ht="24.75" customHeight="1">
      <c r="A5" s="31" t="s">
        <v>179</v>
      </c>
      <c r="B5" s="32">
        <f>B6+B7+B8+B9</f>
        <v>87622</v>
      </c>
      <c r="C5" s="32">
        <f t="shared" ref="C5:E5" si="0">C6+C7+C8+C9</f>
        <v>151415</v>
      </c>
      <c r="D5" s="32">
        <f t="shared" si="0"/>
        <v>45159</v>
      </c>
      <c r="E5" s="32">
        <f t="shared" si="0"/>
        <v>83117</v>
      </c>
      <c r="F5" s="33">
        <f>D5/B5</f>
        <v>0.51538426422587935</v>
      </c>
      <c r="G5" s="33">
        <f>E5/C5</f>
        <v>0.54893504606544929</v>
      </c>
      <c r="J5" s="313" t="s">
        <v>323</v>
      </c>
      <c r="K5" s="314" t="s">
        <v>324</v>
      </c>
      <c r="L5" s="314" t="s">
        <v>325</v>
      </c>
      <c r="M5" s="316" t="s">
        <v>326</v>
      </c>
      <c r="N5" s="313" t="s">
        <v>327</v>
      </c>
      <c r="O5" s="313" t="s">
        <v>328</v>
      </c>
      <c r="P5" s="313" t="s">
        <v>329</v>
      </c>
      <c r="Q5" s="313" t="s">
        <v>330</v>
      </c>
    </row>
    <row r="6" spans="1:17" ht="24.75" customHeight="1">
      <c r="A6" s="34" t="s">
        <v>180</v>
      </c>
      <c r="B6" s="35">
        <v>13803</v>
      </c>
      <c r="C6" s="36">
        <v>17249</v>
      </c>
      <c r="D6" s="37">
        <v>8020</v>
      </c>
      <c r="E6" s="38">
        <v>11409</v>
      </c>
      <c r="F6" s="39">
        <f>D6/B6</f>
        <v>0.58103310874447589</v>
      </c>
      <c r="G6" s="39">
        <f>E6/C6</f>
        <v>0.66142964809554172</v>
      </c>
      <c r="J6" s="314" t="s">
        <v>331</v>
      </c>
      <c r="K6" s="313">
        <v>11409</v>
      </c>
      <c r="L6" s="313">
        <v>7143001.0700000068</v>
      </c>
      <c r="M6" s="315">
        <v>626.08476378297894</v>
      </c>
      <c r="N6" s="313">
        <v>1839</v>
      </c>
      <c r="O6" s="317">
        <v>0.16118853536681568</v>
      </c>
      <c r="P6" s="313">
        <v>1044278</v>
      </c>
      <c r="Q6" s="317">
        <v>0.14619597418035932</v>
      </c>
    </row>
    <row r="7" spans="1:17" ht="24.75" customHeight="1">
      <c r="A7" s="40" t="s">
        <v>181</v>
      </c>
      <c r="B7" s="35">
        <v>24070</v>
      </c>
      <c r="C7" s="36">
        <v>41902</v>
      </c>
      <c r="D7" s="37">
        <v>16685</v>
      </c>
      <c r="E7" s="38">
        <v>28089</v>
      </c>
      <c r="F7" s="39">
        <f t="shared" ref="F7:G13" si="1">D7/B7</f>
        <v>0.69318653926049023</v>
      </c>
      <c r="G7" s="39">
        <f t="shared" si="1"/>
        <v>0.67034986396830698</v>
      </c>
      <c r="J7" s="314" t="s">
        <v>332</v>
      </c>
      <c r="K7" s="313">
        <v>28048</v>
      </c>
      <c r="L7" s="313">
        <v>12619528.369999984</v>
      </c>
      <c r="M7" s="315">
        <v>449.92613983171651</v>
      </c>
      <c r="N7" s="313">
        <v>4526</v>
      </c>
      <c r="O7" s="317">
        <v>0.16136622932116371</v>
      </c>
      <c r="P7" s="313">
        <v>1816162</v>
      </c>
      <c r="Q7" s="317">
        <v>0.14391678886490766</v>
      </c>
    </row>
    <row r="8" spans="1:17" ht="24.75" customHeight="1">
      <c r="A8" s="40" t="s">
        <v>182</v>
      </c>
      <c r="B8" s="35">
        <v>18356</v>
      </c>
      <c r="C8" s="36">
        <v>47876</v>
      </c>
      <c r="D8" s="37">
        <v>6847</v>
      </c>
      <c r="E8" s="38">
        <v>25599</v>
      </c>
      <c r="F8" s="39">
        <f t="shared" si="1"/>
        <v>0.37301154935715841</v>
      </c>
      <c r="G8" s="39">
        <f t="shared" si="1"/>
        <v>0.53469379229676661</v>
      </c>
      <c r="J8" s="314" t="s">
        <v>333</v>
      </c>
      <c r="K8" s="313">
        <v>25599</v>
      </c>
      <c r="L8" s="313">
        <v>15267818.330000112</v>
      </c>
      <c r="M8" s="315">
        <v>596.42245126763203</v>
      </c>
      <c r="N8" s="313">
        <v>1431</v>
      </c>
      <c r="O8" s="317">
        <v>5.5900621118012424E-2</v>
      </c>
      <c r="P8" s="313">
        <v>645643.19999999995</v>
      </c>
      <c r="Q8" s="317">
        <v>4.2287849255539002E-2</v>
      </c>
    </row>
    <row r="9" spans="1:17" ht="24.75" customHeight="1">
      <c r="A9" s="40" t="s">
        <v>183</v>
      </c>
      <c r="B9" s="35">
        <v>31393</v>
      </c>
      <c r="C9" s="36">
        <v>44388</v>
      </c>
      <c r="D9" s="37">
        <v>13607</v>
      </c>
      <c r="E9" s="38">
        <v>18020</v>
      </c>
      <c r="F9" s="39">
        <f t="shared" si="1"/>
        <v>0.43344057592456919</v>
      </c>
      <c r="G9" s="39">
        <f t="shared" si="1"/>
        <v>0.40596557628187796</v>
      </c>
      <c r="J9" s="314" t="s">
        <v>334</v>
      </c>
      <c r="K9" s="313">
        <v>18020</v>
      </c>
      <c r="L9" s="313">
        <v>19097859.029999979</v>
      </c>
      <c r="M9" s="315">
        <v>1059.8145965593774</v>
      </c>
      <c r="N9" s="313">
        <v>1935</v>
      </c>
      <c r="O9" s="317">
        <v>0.10738068812430633</v>
      </c>
      <c r="P9" s="313">
        <v>1793282</v>
      </c>
      <c r="Q9" s="317">
        <v>9.3899635408503795E-2</v>
      </c>
    </row>
    <row r="10" spans="1:17" ht="24" customHeight="1">
      <c r="A10" s="21" t="s">
        <v>184</v>
      </c>
      <c r="B10" s="19">
        <f>B11+B12+B13</f>
        <v>114021</v>
      </c>
      <c r="C10" s="19">
        <f t="shared" ref="C10:E10" si="2">C11+C12+C13</f>
        <v>130663</v>
      </c>
      <c r="D10" s="19">
        <f t="shared" si="2"/>
        <v>28721</v>
      </c>
      <c r="E10" s="19">
        <f t="shared" si="2"/>
        <v>53202</v>
      </c>
      <c r="F10" s="33">
        <f t="shared" si="1"/>
        <v>0.25189219529735751</v>
      </c>
      <c r="G10" s="33">
        <f t="shared" si="1"/>
        <v>0.40716958894254685</v>
      </c>
      <c r="J10" s="313" t="s">
        <v>36</v>
      </c>
      <c r="K10" s="313">
        <v>83076</v>
      </c>
      <c r="L10" s="313">
        <v>54128206.800000079</v>
      </c>
      <c r="M10" s="315">
        <v>651.55046944966148</v>
      </c>
      <c r="N10" s="313">
        <v>9731</v>
      </c>
      <c r="O10" s="317">
        <v>0.11713370889306178</v>
      </c>
      <c r="P10" s="313">
        <v>5299365.2</v>
      </c>
      <c r="Q10" s="317">
        <v>9.7903949036789312E-2</v>
      </c>
    </row>
    <row r="11" spans="1:17" ht="24" customHeight="1">
      <c r="A11" s="40" t="s">
        <v>185</v>
      </c>
      <c r="B11" s="41">
        <v>31042</v>
      </c>
      <c r="C11" s="42">
        <v>56277</v>
      </c>
      <c r="D11" s="41">
        <v>15718</v>
      </c>
      <c r="E11" s="43">
        <v>30629</v>
      </c>
      <c r="F11" s="39">
        <f t="shared" si="1"/>
        <v>0.50634624057728239</v>
      </c>
      <c r="G11" s="39">
        <f t="shared" si="1"/>
        <v>0.54425431348508269</v>
      </c>
    </row>
    <row r="12" spans="1:17" ht="24" customHeight="1">
      <c r="A12" s="40" t="s">
        <v>186</v>
      </c>
      <c r="B12" s="41">
        <v>19753</v>
      </c>
      <c r="C12" s="42">
        <v>53932</v>
      </c>
      <c r="D12" s="41">
        <v>4999</v>
      </c>
      <c r="E12" s="44">
        <v>15404</v>
      </c>
      <c r="F12" s="39">
        <f t="shared" si="1"/>
        <v>0.25307548220523463</v>
      </c>
      <c r="G12" s="39">
        <f t="shared" si="1"/>
        <v>0.28561892753838164</v>
      </c>
    </row>
    <row r="13" spans="1:17" ht="24" customHeight="1">
      <c r="A13" s="40" t="s">
        <v>187</v>
      </c>
      <c r="B13" s="41">
        <v>63226</v>
      </c>
      <c r="C13" s="42">
        <v>20454</v>
      </c>
      <c r="D13" s="41">
        <v>8004</v>
      </c>
      <c r="E13" s="44">
        <v>7169</v>
      </c>
      <c r="F13" s="39">
        <f t="shared" si="1"/>
        <v>0.12659349001992851</v>
      </c>
      <c r="G13" s="39">
        <f t="shared" si="1"/>
        <v>0.35049379094553634</v>
      </c>
    </row>
    <row r="14" spans="1:17" ht="16.5" customHeight="1">
      <c r="A14" s="23"/>
      <c r="B14" s="24"/>
      <c r="C14" s="45"/>
      <c r="D14" s="46"/>
    </row>
    <row r="15" spans="1:17">
      <c r="A15" s="25" t="s">
        <v>56</v>
      </c>
      <c r="B15" s="26">
        <f>B5+B10</f>
        <v>201643</v>
      </c>
      <c r="C15" s="26">
        <f>C5+C10</f>
        <v>282078</v>
      </c>
      <c r="D15" s="26">
        <f>D5+D10</f>
        <v>73880</v>
      </c>
      <c r="E15" s="26">
        <f>E5+E10</f>
        <v>136319</v>
      </c>
      <c r="F15" s="47">
        <f>D15/B15</f>
        <v>0.36639010528508303</v>
      </c>
      <c r="G15" s="47">
        <f>E15/C15</f>
        <v>0.48326703961315665</v>
      </c>
    </row>
    <row r="16" spans="1:17">
      <c r="A16" s="27" t="s">
        <v>188</v>
      </c>
      <c r="B16" s="28"/>
      <c r="C16" s="48"/>
      <c r="D16" s="48"/>
    </row>
    <row r="18" spans="1:11" ht="20.25" customHeight="1">
      <c r="A18" s="368" t="s">
        <v>62</v>
      </c>
      <c r="B18" s="368"/>
      <c r="C18" s="368"/>
      <c r="D18" s="368"/>
      <c r="E18" s="368"/>
      <c r="F18" s="368"/>
      <c r="G18" s="368"/>
    </row>
    <row r="19" spans="1:11" ht="20.25" customHeight="1">
      <c r="A19" s="419" t="s">
        <v>189</v>
      </c>
      <c r="B19" s="368"/>
      <c r="C19" s="368"/>
      <c r="D19" s="368"/>
      <c r="E19" s="368"/>
      <c r="F19" s="368"/>
      <c r="G19" s="368"/>
    </row>
    <row r="20" spans="1:11" ht="20.25" customHeight="1">
      <c r="A20" s="419" t="s">
        <v>190</v>
      </c>
      <c r="B20" s="368"/>
      <c r="C20" s="368"/>
      <c r="D20" s="368"/>
      <c r="E20" s="368"/>
      <c r="F20" s="368"/>
      <c r="G20" s="368"/>
    </row>
    <row r="21" spans="1:11" ht="20.25" customHeight="1">
      <c r="A21" s="419" t="s">
        <v>267</v>
      </c>
      <c r="B21" s="368"/>
      <c r="C21" s="368"/>
      <c r="D21" s="368"/>
      <c r="E21" s="368"/>
      <c r="F21" s="368"/>
      <c r="G21" s="368"/>
    </row>
    <row r="22" spans="1:11" ht="20.25" customHeight="1">
      <c r="A22" s="419" t="s">
        <v>191</v>
      </c>
      <c r="B22" s="419"/>
      <c r="C22" s="419"/>
      <c r="D22" s="419"/>
      <c r="E22" s="419"/>
      <c r="F22" s="419"/>
      <c r="G22" s="419"/>
    </row>
    <row r="23" spans="1:11" ht="20.25" customHeight="1">
      <c r="A23" s="419" t="s">
        <v>216</v>
      </c>
      <c r="B23" s="368"/>
      <c r="C23" s="368"/>
      <c r="D23" s="368"/>
      <c r="E23" s="368"/>
      <c r="F23" s="368"/>
      <c r="G23" s="368"/>
    </row>
    <row r="24" spans="1:11" ht="20.25" customHeight="1">
      <c r="A24" s="368" t="s">
        <v>217</v>
      </c>
      <c r="B24" s="368"/>
      <c r="C24" s="368"/>
      <c r="D24" s="368"/>
      <c r="E24" s="368"/>
      <c r="F24" s="368"/>
      <c r="G24" s="368"/>
    </row>
    <row r="25" spans="1:11" ht="20.25" customHeight="1">
      <c r="A25" s="368" t="s">
        <v>218</v>
      </c>
      <c r="B25" s="368"/>
      <c r="C25" s="368"/>
      <c r="D25" s="368"/>
      <c r="E25" s="368"/>
      <c r="F25" s="368"/>
      <c r="G25" s="368"/>
    </row>
    <row r="26" spans="1:11" ht="20.25" customHeight="1">
      <c r="A26" s="368"/>
      <c r="B26" s="368"/>
      <c r="C26" s="368"/>
      <c r="D26" s="368"/>
      <c r="E26" s="368"/>
      <c r="F26" s="368"/>
      <c r="G26" s="368"/>
    </row>
    <row r="27" spans="1:11" ht="20.25" customHeight="1">
      <c r="A27" s="368"/>
      <c r="B27" s="368"/>
      <c r="C27" s="368"/>
      <c r="D27" s="368"/>
      <c r="E27" s="368"/>
      <c r="F27" s="368"/>
      <c r="G27" s="368"/>
    </row>
    <row r="28" spans="1:11">
      <c r="A28" s="368"/>
      <c r="B28" s="368"/>
      <c r="C28" s="368"/>
      <c r="D28" s="368"/>
      <c r="E28" s="368"/>
      <c r="F28" s="368"/>
      <c r="G28" s="368"/>
    </row>
    <row r="29" spans="1:11" ht="20.25" customHeight="1">
      <c r="A29" s="421" t="s">
        <v>352</v>
      </c>
      <c r="B29" s="421"/>
      <c r="C29" s="421"/>
      <c r="D29" s="421"/>
      <c r="E29" s="421"/>
      <c r="F29" s="421"/>
      <c r="G29" s="421"/>
      <c r="H29" s="421"/>
      <c r="I29" s="421"/>
      <c r="J29" s="421"/>
    </row>
    <row r="30" spans="1:11">
      <c r="A30" s="420" t="s">
        <v>349</v>
      </c>
      <c r="B30" s="321" t="s">
        <v>323</v>
      </c>
      <c r="C30" s="322" t="s">
        <v>324</v>
      </c>
      <c r="D30" s="322" t="s">
        <v>340</v>
      </c>
      <c r="E30" s="321" t="s">
        <v>345</v>
      </c>
      <c r="F30" s="322" t="s">
        <v>325</v>
      </c>
      <c r="G30" s="321" t="s">
        <v>346</v>
      </c>
      <c r="H30" s="323" t="s">
        <v>347</v>
      </c>
      <c r="I30" s="323" t="s">
        <v>348</v>
      </c>
      <c r="J30" s="323" t="s">
        <v>350</v>
      </c>
      <c r="K30" s="323" t="s">
        <v>351</v>
      </c>
    </row>
    <row r="31" spans="1:11">
      <c r="A31" s="420"/>
      <c r="B31" s="322" t="s">
        <v>334</v>
      </c>
      <c r="C31" s="321">
        <v>18020</v>
      </c>
      <c r="D31" s="321">
        <v>51362948</v>
      </c>
      <c r="E31" s="324">
        <v>2850.3300776914539</v>
      </c>
      <c r="F31" s="321">
        <v>19097859.029999979</v>
      </c>
      <c r="G31" s="324">
        <v>1033.4415704772405</v>
      </c>
      <c r="H31" s="325">
        <f>(G31-G37)/G37</f>
        <v>-6.6987998689530329E-2</v>
      </c>
      <c r="I31" s="325">
        <f>(E31-E37)/E37</f>
        <v>1.0090618685333907E-2</v>
      </c>
      <c r="J31" s="325">
        <f>(F31-F37)/F37</f>
        <v>0.26974993098451716</v>
      </c>
      <c r="K31" s="328">
        <f>F31/D31</f>
        <v>0.37182170754684835</v>
      </c>
    </row>
    <row r="32" spans="1:11">
      <c r="A32" s="420"/>
      <c r="B32" s="322" t="s">
        <v>332</v>
      </c>
      <c r="C32" s="321">
        <v>28048</v>
      </c>
      <c r="D32" s="321">
        <v>30011710</v>
      </c>
      <c r="E32" s="324">
        <v>1070.0124786081003</v>
      </c>
      <c r="F32" s="321">
        <v>12619528.369999984</v>
      </c>
      <c r="G32" s="324">
        <v>449.75674058756357</v>
      </c>
      <c r="H32" s="325">
        <f t="shared" ref="H32:H35" si="3">(G32-G38)/G38</f>
        <v>-0.13086907192993794</v>
      </c>
      <c r="I32" s="325">
        <f t="shared" ref="I32:I35" si="4">(E32-E38)/E38</f>
        <v>1.0931103610145546E-2</v>
      </c>
      <c r="J32" s="325">
        <f t="shared" ref="J32:J35" si="5">(F32-F38)/F38</f>
        <v>0.47672071719921622</v>
      </c>
      <c r="K32" s="328">
        <f t="shared" ref="K32:K41" si="6">F32/D32</f>
        <v>0.4204868156462922</v>
      </c>
    </row>
    <row r="33" spans="1:11">
      <c r="A33" s="420"/>
      <c r="B33" s="322" t="s">
        <v>331</v>
      </c>
      <c r="C33" s="321">
        <v>11409</v>
      </c>
      <c r="D33" s="321">
        <v>15182295</v>
      </c>
      <c r="E33" s="324">
        <v>1330.72968708914</v>
      </c>
      <c r="F33" s="321">
        <v>7143001.0700000068</v>
      </c>
      <c r="G33" s="324">
        <v>624.64570865106509</v>
      </c>
      <c r="H33" s="325">
        <f t="shared" si="3"/>
        <v>-0.22820974404789654</v>
      </c>
      <c r="I33" s="325">
        <f t="shared" si="4"/>
        <v>-0.12318791176926579</v>
      </c>
      <c r="J33" s="325">
        <f t="shared" si="5"/>
        <v>0.11182171272360206</v>
      </c>
      <c r="K33" s="328">
        <f t="shared" si="6"/>
        <v>0.47048229994213697</v>
      </c>
    </row>
    <row r="34" spans="1:11">
      <c r="A34" s="420"/>
      <c r="B34" s="322" t="s">
        <v>333</v>
      </c>
      <c r="C34" s="321">
        <v>25599</v>
      </c>
      <c r="D34" s="321">
        <v>37652000</v>
      </c>
      <c r="E34" s="324">
        <v>1470.8387046368998</v>
      </c>
      <c r="F34" s="321">
        <v>15267818.330000112</v>
      </c>
      <c r="G34" s="324">
        <v>592.64789171452401</v>
      </c>
      <c r="H34" s="325">
        <f t="shared" si="3"/>
        <v>-0.18705154006938166</v>
      </c>
      <c r="I34" s="325">
        <f t="shared" si="4"/>
        <v>3.1311307353267794E-2</v>
      </c>
      <c r="J34" s="325">
        <f t="shared" si="5"/>
        <v>2.0816966223872506</v>
      </c>
      <c r="K34" s="328">
        <f t="shared" si="6"/>
        <v>0.40549820275151682</v>
      </c>
    </row>
    <row r="35" spans="1:11">
      <c r="A35" s="420"/>
      <c r="B35" s="322" t="s">
        <v>36</v>
      </c>
      <c r="C35" s="321">
        <v>83076</v>
      </c>
      <c r="D35" s="321">
        <v>134208953</v>
      </c>
      <c r="E35" s="324">
        <f>D35/C35</f>
        <v>1615.4960879194955</v>
      </c>
      <c r="F35" s="321">
        <v>54128206.799999319</v>
      </c>
      <c r="G35" s="324">
        <v>644.41198938320815</v>
      </c>
      <c r="H35" s="325">
        <f t="shared" si="3"/>
        <v>-0.17383494118722664</v>
      </c>
      <c r="I35" s="325">
        <f t="shared" si="4"/>
        <v>-6.6020550827403504E-2</v>
      </c>
      <c r="J35" s="325">
        <f t="shared" si="5"/>
        <v>0.5480578142095045</v>
      </c>
      <c r="K35" s="328">
        <f t="shared" si="6"/>
        <v>0.40331293546414387</v>
      </c>
    </row>
    <row r="36" spans="1:11">
      <c r="A36" s="420"/>
      <c r="B36" s="321" t="s">
        <v>323</v>
      </c>
      <c r="C36" s="322" t="s">
        <v>324</v>
      </c>
      <c r="D36" s="322" t="s">
        <v>340</v>
      </c>
      <c r="E36" s="322"/>
      <c r="F36" s="322" t="s">
        <v>325</v>
      </c>
      <c r="G36" s="321"/>
      <c r="H36" s="326"/>
      <c r="I36" s="326"/>
      <c r="J36" s="326"/>
      <c r="K36" s="328"/>
    </row>
    <row r="37" spans="1:11">
      <c r="A37" s="420"/>
      <c r="B37" s="322" t="s">
        <v>341</v>
      </c>
      <c r="C37" s="321">
        <v>13579</v>
      </c>
      <c r="D37" s="321">
        <v>38317980</v>
      </c>
      <c r="E37" s="324">
        <v>2821.855806760439</v>
      </c>
      <c r="F37" s="321">
        <v>15040645.849999933</v>
      </c>
      <c r="G37" s="324">
        <v>1107.6401686427523</v>
      </c>
      <c r="H37" s="326"/>
      <c r="I37" s="326"/>
      <c r="J37" s="326"/>
      <c r="K37" s="328">
        <f t="shared" si="6"/>
        <v>0.39252188789701159</v>
      </c>
    </row>
    <row r="38" spans="1:11">
      <c r="A38" s="420"/>
      <c r="B38" s="322" t="s">
        <v>342</v>
      </c>
      <c r="C38" s="321">
        <v>16514</v>
      </c>
      <c r="D38" s="321">
        <v>17479120</v>
      </c>
      <c r="E38" s="324">
        <v>1058.442533607848</v>
      </c>
      <c r="F38" s="321">
        <v>8545643.2100001164</v>
      </c>
      <c r="G38" s="324">
        <v>517.47869746882134</v>
      </c>
      <c r="H38" s="326"/>
      <c r="I38" s="326"/>
      <c r="J38" s="326"/>
      <c r="K38" s="328">
        <f t="shared" si="6"/>
        <v>0.48890580361025704</v>
      </c>
    </row>
    <row r="39" spans="1:11">
      <c r="A39" s="420"/>
      <c r="B39" s="322" t="s">
        <v>343</v>
      </c>
      <c r="C39" s="321">
        <v>7938</v>
      </c>
      <c r="D39" s="321">
        <v>12047430</v>
      </c>
      <c r="E39" s="324">
        <v>1517.6908541194255</v>
      </c>
      <c r="F39" s="321">
        <v>6424592.1699999673</v>
      </c>
      <c r="G39" s="324">
        <v>809.34645628621411</v>
      </c>
      <c r="H39" s="326"/>
      <c r="I39" s="326"/>
      <c r="J39" s="326"/>
      <c r="K39" s="328">
        <f t="shared" si="6"/>
        <v>0.5332749117446598</v>
      </c>
    </row>
    <row r="40" spans="1:11">
      <c r="A40" s="420"/>
      <c r="B40" s="322" t="s">
        <v>344</v>
      </c>
      <c r="C40" s="321">
        <v>6796</v>
      </c>
      <c r="D40" s="321">
        <v>9692340</v>
      </c>
      <c r="E40" s="324">
        <v>1426.183048852266</v>
      </c>
      <c r="F40" s="321">
        <v>4954354.7599999718</v>
      </c>
      <c r="G40" s="324">
        <v>729.01041200705879</v>
      </c>
      <c r="H40" s="326"/>
      <c r="I40" s="326"/>
      <c r="J40" s="326"/>
      <c r="K40" s="328">
        <f t="shared" si="6"/>
        <v>0.51116188247626182</v>
      </c>
    </row>
    <row r="41" spans="1:11">
      <c r="A41" s="420"/>
      <c r="B41" s="322" t="s">
        <v>36</v>
      </c>
      <c r="C41" s="321">
        <v>44827</v>
      </c>
      <c r="D41" s="321">
        <v>77536870</v>
      </c>
      <c r="E41" s="324">
        <f>D41/C41</f>
        <v>1729.6912575010597</v>
      </c>
      <c r="F41" s="321">
        <v>34965235.99000027</v>
      </c>
      <c r="G41" s="324">
        <v>780.00392598211499</v>
      </c>
      <c r="H41" s="326"/>
      <c r="I41" s="326"/>
      <c r="J41" s="326"/>
      <c r="K41" s="328">
        <f t="shared" si="6"/>
        <v>0.45094979962436282</v>
      </c>
    </row>
    <row r="42" spans="1:11">
      <c r="A42" s="326"/>
      <c r="B42" s="326"/>
      <c r="C42" s="327"/>
      <c r="D42" s="326"/>
      <c r="E42" s="326"/>
      <c r="F42" s="326"/>
      <c r="G42" s="326"/>
      <c r="H42" s="326"/>
      <c r="I42" s="326"/>
      <c r="J42" s="326"/>
      <c r="K42" s="328"/>
    </row>
  </sheetData>
  <mergeCells count="18">
    <mergeCell ref="A18:G18"/>
    <mergeCell ref="A19:G19"/>
    <mergeCell ref="A20:G20"/>
    <mergeCell ref="A21:G21"/>
    <mergeCell ref="A22:G22"/>
    <mergeCell ref="A1:G1"/>
    <mergeCell ref="A2:G2"/>
    <mergeCell ref="B3:C3"/>
    <mergeCell ref="D3:E3"/>
    <mergeCell ref="F3:G3"/>
    <mergeCell ref="A23:G23"/>
    <mergeCell ref="A24:G24"/>
    <mergeCell ref="A25:G25"/>
    <mergeCell ref="A26:G26"/>
    <mergeCell ref="A30:A41"/>
    <mergeCell ref="A29:J29"/>
    <mergeCell ref="A27:G27"/>
    <mergeCell ref="A28:G28"/>
  </mergeCells>
  <phoneticPr fontId="7" type="noConversion"/>
  <pageMargins left="0.69930555555555596" right="0.69930555555555596" top="0.75" bottom="0.75" header="0.3" footer="0.3"/>
  <pageSetup paperSize="9" orientation="landscape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I42"/>
  <sheetViews>
    <sheetView workbookViewId="0">
      <selection activeCell="J14" sqref="J14"/>
    </sheetView>
  </sheetViews>
  <sheetFormatPr defaultColWidth="9" defaultRowHeight="13.5"/>
  <cols>
    <col min="2" max="2" width="22.875" style="6" customWidth="1"/>
    <col min="3" max="9" width="12.375" style="6" customWidth="1"/>
  </cols>
  <sheetData>
    <row r="1" spans="2:6" ht="21.75" customHeight="1"/>
    <row r="2" spans="2:6" ht="21.75" customHeight="1">
      <c r="B2" s="7" t="s">
        <v>192</v>
      </c>
      <c r="C2" s="8" t="s">
        <v>163</v>
      </c>
      <c r="D2" s="8" t="s">
        <v>219</v>
      </c>
      <c r="E2" s="8"/>
      <c r="F2" s="9"/>
    </row>
    <row r="3" spans="2:6" ht="21.75" customHeight="1">
      <c r="B3" s="7" t="s">
        <v>193</v>
      </c>
      <c r="C3" s="6">
        <f>C4+C8</f>
        <v>3131.6</v>
      </c>
      <c r="D3" s="6">
        <f>D4+D8</f>
        <v>3104.6</v>
      </c>
    </row>
    <row r="4" spans="2:6" ht="21.75" customHeight="1">
      <c r="B4" s="8" t="s">
        <v>194</v>
      </c>
      <c r="C4" s="6">
        <f>SUM(C5:C7)</f>
        <v>739.6</v>
      </c>
      <c r="D4" s="6">
        <f>SUM(D5:D7)</f>
        <v>740.6</v>
      </c>
      <c r="E4" s="10"/>
      <c r="F4" s="10"/>
    </row>
    <row r="5" spans="2:6" ht="21.75" customHeight="1">
      <c r="B5" s="11" t="s">
        <v>195</v>
      </c>
      <c r="C5" s="6">
        <v>80.599999999999994</v>
      </c>
      <c r="D5" s="8">
        <v>82.6</v>
      </c>
      <c r="E5" s="8"/>
    </row>
    <row r="6" spans="2:6" ht="21.75" customHeight="1">
      <c r="B6" s="11" t="s">
        <v>196</v>
      </c>
      <c r="C6" s="6">
        <v>587</v>
      </c>
      <c r="D6" s="8">
        <v>558</v>
      </c>
      <c r="E6" s="10">
        <f>C6/C4</f>
        <v>0.79367225527312057</v>
      </c>
      <c r="F6" s="10">
        <f>D6/D4</f>
        <v>0.75344315419929786</v>
      </c>
    </row>
    <row r="7" spans="2:6" ht="21.75" customHeight="1">
      <c r="B7" s="11" t="s">
        <v>197</v>
      </c>
      <c r="C7" s="6">
        <v>72</v>
      </c>
      <c r="D7" s="8">
        <v>100</v>
      </c>
      <c r="E7" s="8"/>
    </row>
    <row r="8" spans="2:6" ht="21.75" customHeight="1">
      <c r="B8" s="12" t="s">
        <v>198</v>
      </c>
      <c r="C8" s="6">
        <v>2392</v>
      </c>
      <c r="D8" s="8">
        <v>2364</v>
      </c>
      <c r="E8" s="10"/>
      <c r="F8" s="10"/>
    </row>
    <row r="9" spans="2:6" ht="21.75" customHeight="1">
      <c r="B9" s="13" t="s">
        <v>220</v>
      </c>
      <c r="C9" s="8">
        <v>1152</v>
      </c>
      <c r="D9" s="8">
        <v>1452</v>
      </c>
      <c r="E9" s="10"/>
      <c r="F9" s="10"/>
    </row>
    <row r="10" spans="2:6" ht="21.75" customHeight="1">
      <c r="B10" s="13" t="s">
        <v>221</v>
      </c>
      <c r="C10" s="8">
        <v>396</v>
      </c>
      <c r="D10" s="8">
        <v>454</v>
      </c>
      <c r="E10" s="10"/>
      <c r="F10" s="10"/>
    </row>
    <row r="11" spans="2:6" ht="21.75" customHeight="1">
      <c r="B11" s="13" t="s">
        <v>222</v>
      </c>
      <c r="C11" s="8">
        <v>202</v>
      </c>
      <c r="D11" s="8">
        <v>458</v>
      </c>
      <c r="E11" s="10"/>
      <c r="F11" s="10"/>
    </row>
    <row r="12" spans="2:6" ht="21.75" customHeight="1">
      <c r="B12" s="13" t="s">
        <v>223</v>
      </c>
      <c r="C12" s="8">
        <v>642</v>
      </c>
      <c r="D12" s="8"/>
      <c r="E12" s="10"/>
      <c r="F12" s="10"/>
    </row>
    <row r="13" spans="2:6" ht="21.75" customHeight="1">
      <c r="B13" s="12" t="s">
        <v>199</v>
      </c>
      <c r="C13" s="14">
        <f>C8/C3</f>
        <v>0.76382679780303997</v>
      </c>
      <c r="D13" s="14">
        <f>D8/D3</f>
        <v>0.76145075049925914</v>
      </c>
      <c r="E13" s="8"/>
    </row>
    <row r="14" spans="2:6" ht="21.75" customHeight="1">
      <c r="B14" s="12"/>
      <c r="E14" s="8"/>
    </row>
    <row r="15" spans="2:6" ht="21.75" customHeight="1">
      <c r="E15" s="8"/>
    </row>
    <row r="16" spans="2:6" ht="21.75" customHeight="1">
      <c r="B16" s="6" t="s">
        <v>200</v>
      </c>
    </row>
    <row r="17" spans="2:7" ht="21.75" customHeight="1">
      <c r="B17" s="373" t="s">
        <v>253</v>
      </c>
      <c r="C17" s="373"/>
      <c r="D17" s="373"/>
      <c r="E17" s="373"/>
      <c r="F17" s="373"/>
      <c r="G17" s="373"/>
    </row>
    <row r="18" spans="2:7" ht="21.75" customHeight="1">
      <c r="B18" s="373" t="s">
        <v>201</v>
      </c>
      <c r="C18" s="373"/>
      <c r="D18" s="373"/>
      <c r="E18" s="373"/>
      <c r="F18" s="373"/>
      <c r="G18" s="373"/>
    </row>
    <row r="19" spans="2:7" ht="21.75" customHeight="1">
      <c r="B19" s="373" t="s">
        <v>202</v>
      </c>
      <c r="C19" s="373"/>
      <c r="D19" s="373"/>
      <c r="E19" s="373"/>
      <c r="F19" s="373"/>
      <c r="G19" s="373"/>
    </row>
    <row r="20" spans="2:7" ht="21.75" customHeight="1">
      <c r="B20" s="373" t="s">
        <v>203</v>
      </c>
      <c r="C20" s="373"/>
      <c r="D20" s="373"/>
      <c r="E20" s="373"/>
      <c r="F20" s="373"/>
      <c r="G20" s="373"/>
    </row>
    <row r="21" spans="2:7" ht="21.75" customHeight="1">
      <c r="B21" s="373" t="s">
        <v>254</v>
      </c>
      <c r="C21" s="373"/>
      <c r="D21" s="373"/>
      <c r="E21" s="373"/>
      <c r="F21" s="373"/>
      <c r="G21" s="373"/>
    </row>
    <row r="22" spans="2:7" ht="21.75" customHeight="1">
      <c r="B22" s="373" t="s">
        <v>204</v>
      </c>
      <c r="C22" s="373"/>
      <c r="D22" s="373"/>
      <c r="E22" s="373"/>
      <c r="F22" s="373"/>
      <c r="G22" s="373"/>
    </row>
    <row r="23" spans="2:7" ht="21.75" customHeight="1"/>
    <row r="24" spans="2:7" ht="21.75" customHeight="1">
      <c r="B24" s="373"/>
      <c r="C24" s="373"/>
      <c r="D24" s="373"/>
      <c r="E24" s="373"/>
      <c r="F24" s="373"/>
      <c r="G24" s="373"/>
    </row>
    <row r="25" spans="2:7" ht="21.75" customHeight="1"/>
    <row r="26" spans="2:7" ht="21.75" customHeight="1">
      <c r="B26" s="373"/>
      <c r="C26" s="373"/>
      <c r="D26" s="373"/>
      <c r="E26" s="373"/>
      <c r="F26" s="373"/>
      <c r="G26" s="373"/>
    </row>
    <row r="27" spans="2:7" ht="21.75" customHeight="1"/>
    <row r="28" spans="2:7" ht="21.75" customHeight="1"/>
    <row r="29" spans="2:7" ht="21.75" customHeight="1"/>
    <row r="30" spans="2:7" ht="21.75" customHeight="1"/>
    <row r="31" spans="2:7" ht="21.75" customHeight="1"/>
    <row r="32" spans="2:7" ht="21.75" customHeight="1"/>
    <row r="33" ht="21.75" customHeight="1"/>
    <row r="34" ht="21.75" customHeight="1"/>
    <row r="35" ht="21.75" customHeight="1"/>
    <row r="36" ht="21.75" customHeight="1"/>
    <row r="37" ht="21.75" customHeight="1"/>
    <row r="38" ht="21.75" customHeight="1"/>
    <row r="39" ht="21.75" customHeight="1"/>
    <row r="40" ht="21.75" customHeight="1"/>
    <row r="41" ht="21.75" customHeight="1"/>
    <row r="42" ht="21.75" customHeight="1"/>
  </sheetData>
  <mergeCells count="8">
    <mergeCell ref="B22:G22"/>
    <mergeCell ref="B24:G24"/>
    <mergeCell ref="B26:G26"/>
    <mergeCell ref="B17:G17"/>
    <mergeCell ref="B18:G18"/>
    <mergeCell ref="B19:G19"/>
    <mergeCell ref="B20:G20"/>
    <mergeCell ref="B21:G21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封面</vt:lpstr>
      <vt:lpstr>目录</vt:lpstr>
      <vt:lpstr>收入明细</vt:lpstr>
      <vt:lpstr>销售经营分析</vt:lpstr>
      <vt:lpstr>支出明细</vt:lpstr>
      <vt:lpstr>现金流量表</vt:lpstr>
      <vt:lpstr>利润</vt:lpstr>
      <vt:lpstr>商品部</vt:lpstr>
      <vt:lpstr>资产状况</vt:lpstr>
      <vt:lpstr>超支与增长的注释</vt:lpstr>
      <vt:lpstr>计划与实际图表</vt:lpstr>
      <vt:lpstr>资产负债简表预测</vt:lpstr>
      <vt:lpstr>资金峰值预测</vt:lpstr>
      <vt:lpstr>2017年度大事件述职</vt:lpstr>
    </vt:vector>
  </TitlesOfParts>
  <Company>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2015-12-18T14:10:00Z</dcterms:created>
  <dcterms:modified xsi:type="dcterms:W3CDTF">2018-04-03T03:28:25Z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