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CHEME_375\hw2-JeremyRHook\"/>
    </mc:Choice>
  </mc:AlternateContent>
  <xr:revisionPtr revIDLastSave="0" documentId="8_{13674A7D-445B-43A3-AABC-128CBDFAAAD8}" xr6:coauthVersionLast="45" xr6:coauthVersionMax="45" xr10:uidLastSave="{00000000-0000-0000-0000-000000000000}"/>
  <bookViews>
    <workbookView xWindow="11328" yWindow="156" windowWidth="11748" windowHeight="10092" activeTab="3" xr2:uid="{7C27DDCF-E91B-41D7-960F-3E2E34E8F62A}"/>
  </bookViews>
  <sheets>
    <sheet name="P1" sheetId="3" r:id="rId1"/>
    <sheet name="P2" sheetId="4" r:id="rId2"/>
    <sheet name="P3" sheetId="5" r:id="rId3"/>
    <sheet name="P4" sheetId="6" r:id="rId4"/>
  </sheets>
  <definedNames>
    <definedName name="a">'P3'!$C$6</definedName>
    <definedName name="A_1">'P4'!$B$8</definedName>
    <definedName name="A_2">'P4'!$B$9</definedName>
    <definedName name="b">'P3'!$C$7</definedName>
    <definedName name="B_1">'P4'!$C$8</definedName>
    <definedName name="B_2">'P4'!$C$9</definedName>
    <definedName name="C_1">'P4'!$D$8</definedName>
    <definedName name="C_2">'P4'!$D$9</definedName>
    <definedName name="LV">'P3'!$C$13</definedName>
    <definedName name="LVV">'P3'!$D$17</definedName>
    <definedName name="P">'P3'!$C$5</definedName>
    <definedName name="P_1sat">'P4'!#REF!</definedName>
    <definedName name="P_2sat">'P4'!#REF!</definedName>
    <definedName name="RG">'P3'!$C$8</definedName>
    <definedName name="solver_adj" localSheetId="1" hidden="1">'P2'!$B$4:$B$5</definedName>
    <definedName name="solver_adj" localSheetId="2" hidden="1">'P3'!$B$10</definedName>
    <definedName name="solver_adj" localSheetId="3" hidden="1">'P4'!$G$8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'P2'!$B$1</definedName>
    <definedName name="solver_lhs1" localSheetId="2" hidden="1">'P3'!$C$4</definedName>
    <definedName name="solver_lhs1" localSheetId="3" hidden="1">'P4'!$G$8</definedName>
    <definedName name="solver_lhs2" localSheetId="1" hidden="1">'P2'!$B$2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'P2'!$B$3</definedName>
    <definedName name="solver_opt" localSheetId="2" hidden="1">'P3'!$F$11</definedName>
    <definedName name="solver_opt" localSheetId="3" hidden="1">'P4'!$E$10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1</definedName>
    <definedName name="solver_rhs1" localSheetId="1" hidden="1">0</definedName>
    <definedName name="solver_rhs1" localSheetId="2" hidden="1">350.15</definedName>
    <definedName name="solver_rhs1" localSheetId="3" hidden="1">T_2</definedName>
    <definedName name="solver_rhs2" localSheetId="1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0</definedName>
    <definedName name="solver_val" localSheetId="2" hidden="1">0</definedName>
    <definedName name="solver_val" localSheetId="3" hidden="1">1</definedName>
    <definedName name="solver_ver" localSheetId="1" hidden="1">3</definedName>
    <definedName name="solver_ver" localSheetId="2" hidden="1">3</definedName>
    <definedName name="solver_ver" localSheetId="3" hidden="1">3</definedName>
    <definedName name="T">'P3'!$C$4</definedName>
    <definedName name="T_1">'P4'!$G$8</definedName>
    <definedName name="T_2">'P4'!$G$9</definedName>
    <definedName name="V">'P3'!$B$10</definedName>
    <definedName name="VAPOR">'P3'!$C$12</definedName>
    <definedName name="VV">'P3'!$C$12</definedName>
    <definedName name="VVV">'P3'!$D$16</definedName>
    <definedName name="w">#REF!</definedName>
    <definedName name="x">'P2'!$B$4</definedName>
    <definedName name="xx">'P3'!#REF!</definedName>
    <definedName name="y">'P2'!$B$5</definedName>
    <definedName name="yy">'P3'!#REF!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6" l="1"/>
  <c r="D17" i="6"/>
  <c r="D14" i="6"/>
  <c r="F8" i="6"/>
  <c r="E8" i="6" s="1"/>
  <c r="C15" i="6" s="1"/>
  <c r="G9" i="6"/>
  <c r="F9" i="6" s="1"/>
  <c r="E9" i="6" s="1"/>
  <c r="C18" i="6" s="1"/>
  <c r="B2" i="4"/>
  <c r="B1" i="4"/>
  <c r="C25" i="3"/>
  <c r="C24" i="3"/>
  <c r="C23" i="3"/>
  <c r="C22" i="3"/>
  <c r="C21" i="3"/>
  <c r="C8" i="5"/>
  <c r="C13" i="5"/>
  <c r="C11" i="6" l="1"/>
  <c r="D18" i="6"/>
  <c r="D15" i="6"/>
  <c r="E10" i="6"/>
  <c r="C6" i="5" l="1"/>
  <c r="B6" i="5"/>
  <c r="C5" i="5"/>
  <c r="C4" i="5"/>
  <c r="C9" i="5" s="1"/>
  <c r="C12" i="5" l="1"/>
  <c r="B3" i="4" l="1"/>
  <c r="B9" i="3" a="1"/>
  <c r="B9" i="3" s="1"/>
  <c r="E13" i="3" l="1"/>
  <c r="B12" i="3"/>
  <c r="D13" i="3"/>
  <c r="C10" i="3"/>
  <c r="E11" i="3"/>
  <c r="D11" i="3"/>
  <c r="C11" i="3"/>
  <c r="D9" i="3"/>
  <c r="E12" i="3"/>
  <c r="F10" i="3"/>
  <c r="C9" i="3"/>
  <c r="B15" i="3" s="1" a="1"/>
  <c r="D10" i="3"/>
  <c r="F11" i="3"/>
  <c r="C13" i="3"/>
  <c r="B10" i="3"/>
  <c r="B13" i="3"/>
  <c r="F9" i="3"/>
  <c r="F12" i="3"/>
  <c r="E9" i="3"/>
  <c r="B11" i="3"/>
  <c r="D12" i="3"/>
  <c r="F13" i="3"/>
  <c r="C12" i="3"/>
  <c r="E10" i="3"/>
  <c r="B5" i="5"/>
  <c r="B4" i="5"/>
  <c r="B15" i="3" l="1"/>
  <c r="E19" i="3"/>
  <c r="B19" i="3"/>
  <c r="D15" i="3"/>
  <c r="B18" i="3"/>
  <c r="D17" i="3"/>
  <c r="D18" i="3"/>
  <c r="D19" i="3"/>
  <c r="F18" i="3"/>
  <c r="C15" i="3"/>
  <c r="D16" i="3"/>
  <c r="F15" i="3"/>
  <c r="F16" i="3"/>
  <c r="F19" i="3"/>
  <c r="C16" i="3"/>
  <c r="C17" i="3"/>
  <c r="C18" i="3"/>
  <c r="C19" i="3"/>
  <c r="E16" i="3"/>
  <c r="F17" i="3"/>
  <c r="E18" i="3"/>
  <c r="B17" i="3"/>
  <c r="E15" i="3"/>
  <c r="E17" i="3"/>
  <c r="B16" i="3"/>
  <c r="G9" i="3" a="1"/>
  <c r="G9" i="3" l="1"/>
  <c r="G12" i="3"/>
  <c r="G11" i="3"/>
  <c r="G10" i="3"/>
  <c r="G13" i="3"/>
  <c r="G15" i="3" a="1"/>
  <c r="G15" i="3" l="1"/>
  <c r="G19" i="3"/>
  <c r="G18" i="3"/>
  <c r="G17" i="3"/>
  <c r="G16" i="3"/>
</calcChain>
</file>

<file path=xl/sharedStrings.xml><?xml version="1.0" encoding="utf-8"?>
<sst xmlns="http://schemas.openxmlformats.org/spreadsheetml/2006/main" count="70" uniqueCount="64">
  <si>
    <t>x</t>
  </si>
  <si>
    <t>a</t>
  </si>
  <si>
    <t>b</t>
  </si>
  <si>
    <t>c</t>
  </si>
  <si>
    <t>d</t>
  </si>
  <si>
    <t>e</t>
  </si>
  <si>
    <t>ANS</t>
  </si>
  <si>
    <t>Ethane</t>
  </si>
  <si>
    <t>T (Celcius)</t>
  </si>
  <si>
    <t>Pressure (Bar)</t>
  </si>
  <si>
    <t>(b) (cm3/mol)</t>
  </si>
  <si>
    <t>(a) (cm6*bar*K^1/2/mol^2</t>
  </si>
  <si>
    <t>Raoult's law gives the following expressions</t>
  </si>
  <si>
    <t>y1P=x1P1(sat)(T)</t>
  </si>
  <si>
    <t>y2P=x2P2(sat)(T)</t>
  </si>
  <si>
    <t>ln(Pi(sat)(T)/k*P*a = Ai - (Bi/(T/oC +Ci)</t>
  </si>
  <si>
    <t>Benzene</t>
  </si>
  <si>
    <t>Toluene</t>
  </si>
  <si>
    <t>Compound</t>
  </si>
  <si>
    <t>A</t>
  </si>
  <si>
    <t>B</t>
  </si>
  <si>
    <t>C</t>
  </si>
  <si>
    <t xml:space="preserve">Mixture of Benzene (Species 1) and Toluene (Species 2) </t>
  </si>
  <si>
    <t>y1</t>
  </si>
  <si>
    <t>kPa</t>
  </si>
  <si>
    <t>x1</t>
  </si>
  <si>
    <t>T</t>
  </si>
  <si>
    <t>find</t>
  </si>
  <si>
    <t>y2</t>
  </si>
  <si>
    <t>x2</t>
  </si>
  <si>
    <t>A_INV</t>
  </si>
  <si>
    <t>A_INV2</t>
  </si>
  <si>
    <t>2x^2 + y^2-1</t>
  </si>
  <si>
    <t>(.5x-.5)^2 +2(y-.25)^2 -1</t>
  </si>
  <si>
    <t>cm3/mol</t>
  </si>
  <si>
    <t>Kelvin</t>
  </si>
  <si>
    <t>Vapor Guess</t>
  </si>
  <si>
    <t>V=RT/P</t>
  </si>
  <si>
    <t>V= 1.1*b</t>
  </si>
  <si>
    <t>Guess</t>
  </si>
  <si>
    <t>P=(RT/(V-b)) - (a/(SqrtT*(V)*(V +b))</t>
  </si>
  <si>
    <t>83.14 (cm3*bar/mol*k)</t>
  </si>
  <si>
    <t>Liquid Guess</t>
  </si>
  <si>
    <t>x1=</t>
  </si>
  <si>
    <t>x2=</t>
  </si>
  <si>
    <t>x3=</t>
  </si>
  <si>
    <t>x4=</t>
  </si>
  <si>
    <t>x5=</t>
  </si>
  <si>
    <t xml:space="preserve">X = </t>
  </si>
  <si>
    <t xml:space="preserve">Y = </t>
  </si>
  <si>
    <t>Molar Vapor Volume</t>
  </si>
  <si>
    <t>Sum of x</t>
  </si>
  <si>
    <t>T (celcius)</t>
  </si>
  <si>
    <t>% in phase</t>
  </si>
  <si>
    <t>Pressure</t>
  </si>
  <si>
    <t>Mole Fraction In vapor Phase</t>
  </si>
  <si>
    <t>Mole Fraction In liquid Phase</t>
  </si>
  <si>
    <t>Mole Fraction in vapor Phase</t>
  </si>
  <si>
    <t>Mole Fraction in liquid Phase</t>
  </si>
  <si>
    <t>Benzene (Species 1)</t>
  </si>
  <si>
    <t xml:space="preserve"> Toluene (Species 2) </t>
  </si>
  <si>
    <t>Celcius</t>
  </si>
  <si>
    <t>Psat (kPa)</t>
  </si>
  <si>
    <t>ln(P_sat) = A - B/(T+C) (Antoine Equation)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</si>
</sst>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6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13</xdr:row>
      <xdr:rowOff>152400</xdr:rowOff>
    </xdr:from>
    <xdr:to>
      <xdr:col>2</xdr:col>
      <xdr:colOff>617220</xdr:colOff>
      <xdr:row>17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0B1292-10A0-4CFF-A0EC-8C07A297A6E9}"/>
            </a:ext>
          </a:extLst>
        </xdr:cNvPr>
        <xdr:cNvSpPr txBox="1"/>
      </xdr:nvSpPr>
      <xdr:spPr>
        <a:xfrm>
          <a:off x="53340" y="2529840"/>
          <a:ext cx="397002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do</a:t>
          </a:r>
          <a:r>
            <a:rPr lang="en-US" sz="1100" baseline="0"/>
            <a:t> not have a relation between the liquid and gas Molar volumes. So we can only calculate the Molar Vapor Volume, and leave the Molar Liquid Volume as the guess value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50E4-361E-44CC-AFF7-841C50C0FD7C}">
  <dimension ref="A1:G25"/>
  <sheetViews>
    <sheetView topLeftCell="A5" workbookViewId="0">
      <selection activeCell="H10" sqref="H10"/>
    </sheetView>
  </sheetViews>
  <sheetFormatPr defaultRowHeight="14.4" x14ac:dyDescent="0.3"/>
  <cols>
    <col min="2" max="2" width="12.6640625" bestFit="1" customWidth="1"/>
    <col min="3" max="4" width="9" bestFit="1" customWidth="1"/>
    <col min="5" max="6" width="12.6640625" bestFit="1" customWidth="1"/>
  </cols>
  <sheetData>
    <row r="1" spans="1:7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19</v>
      </c>
      <c r="B2" s="2"/>
      <c r="C2" s="2"/>
      <c r="D2" s="2"/>
      <c r="E2" s="2"/>
      <c r="F2" s="2"/>
      <c r="G2" s="2"/>
    </row>
    <row r="3" spans="1:7" x14ac:dyDescent="0.3">
      <c r="B3" s="2">
        <v>11</v>
      </c>
      <c r="C3" s="2">
        <v>3</v>
      </c>
      <c r="D3" s="2">
        <v>0</v>
      </c>
      <c r="E3" s="2">
        <v>1</v>
      </c>
      <c r="F3" s="2">
        <v>2</v>
      </c>
      <c r="G3" s="2">
        <v>45</v>
      </c>
    </row>
    <row r="4" spans="1:7" x14ac:dyDescent="0.3">
      <c r="B4" s="2">
        <v>0</v>
      </c>
      <c r="C4" s="2">
        <v>4</v>
      </c>
      <c r="D4" s="2">
        <v>2</v>
      </c>
      <c r="E4" s="2">
        <v>0</v>
      </c>
      <c r="F4" s="2">
        <v>1</v>
      </c>
      <c r="G4" s="2">
        <v>30</v>
      </c>
    </row>
    <row r="5" spans="1:7" x14ac:dyDescent="0.3">
      <c r="B5" s="2">
        <v>3</v>
      </c>
      <c r="C5" s="2">
        <v>2</v>
      </c>
      <c r="D5" s="2">
        <v>7</v>
      </c>
      <c r="E5" s="2">
        <v>1</v>
      </c>
      <c r="F5" s="2">
        <v>0</v>
      </c>
      <c r="G5" s="2">
        <v>15</v>
      </c>
    </row>
    <row r="6" spans="1:7" x14ac:dyDescent="0.3">
      <c r="B6" s="2">
        <v>4</v>
      </c>
      <c r="C6" s="2">
        <v>0</v>
      </c>
      <c r="D6" s="2">
        <v>4</v>
      </c>
      <c r="E6" s="2">
        <v>10</v>
      </c>
      <c r="F6" s="2">
        <v>1</v>
      </c>
      <c r="G6" s="2">
        <v>20</v>
      </c>
    </row>
    <row r="7" spans="1:7" x14ac:dyDescent="0.3">
      <c r="B7" s="2">
        <v>2</v>
      </c>
      <c r="C7" s="2">
        <v>5</v>
      </c>
      <c r="D7" s="2">
        <v>1</v>
      </c>
      <c r="E7" s="2">
        <v>3</v>
      </c>
      <c r="F7" s="2">
        <v>14</v>
      </c>
      <c r="G7" s="2">
        <v>92</v>
      </c>
    </row>
    <row r="8" spans="1:7" x14ac:dyDescent="0.3">
      <c r="A8" s="3" t="s">
        <v>30</v>
      </c>
      <c r="B8" s="3"/>
      <c r="C8" s="3"/>
      <c r="D8" s="3"/>
      <c r="E8" s="3"/>
      <c r="F8" s="3"/>
      <c r="G8" s="3"/>
    </row>
    <row r="9" spans="1:7" x14ac:dyDescent="0.3">
      <c r="B9" s="3">
        <f t="array" ref="B9:F13">MINVERSE(B3:F7)</f>
        <v>8.8321120549899476E-2</v>
      </c>
      <c r="C9" s="3">
        <v>-7.0974644964658593E-2</v>
      </c>
      <c r="D9" s="3">
        <v>2.6651968095454257E-2</v>
      </c>
      <c r="E9" s="3">
        <v>-9.4351857856170163E-3</v>
      </c>
      <c r="F9" s="3">
        <v>-6.8737435963945352E-3</v>
      </c>
      <c r="G9" s="3">
        <f t="array" ref="G9:G13">MMULT(B9:F13,G3:G7)</f>
        <v>1.4239024706568952</v>
      </c>
    </row>
    <row r="10" spans="1:7" x14ac:dyDescent="0.3">
      <c r="B10" s="3">
        <v>2.5030802152908378E-2</v>
      </c>
      <c r="C10" s="3">
        <v>0.31175021075157255</v>
      </c>
      <c r="D10" s="3">
        <v>-9.3768238116853656E-2</v>
      </c>
      <c r="E10" s="3">
        <v>1.4947149990273008E-2</v>
      </c>
      <c r="F10" s="3">
        <v>-2.691135464626156E-2</v>
      </c>
      <c r="G10" s="3">
        <v>6.8954672200246447</v>
      </c>
    </row>
    <row r="11" spans="1:7" x14ac:dyDescent="0.3">
      <c r="B11" s="3">
        <v>-4.2604240970105699E-2</v>
      </c>
      <c r="C11" s="3">
        <v>-6.8186239543479688E-2</v>
      </c>
      <c r="D11" s="3">
        <v>0.16996303741650998</v>
      </c>
      <c r="E11" s="3">
        <v>-1.6373776019713376E-2</v>
      </c>
      <c r="F11" s="3">
        <v>1.2126321250243183E-2</v>
      </c>
      <c r="G11" s="3">
        <v>-0.62518643408339214</v>
      </c>
    </row>
    <row r="12" spans="1:7" x14ac:dyDescent="0.3">
      <c r="B12" s="3">
        <v>-1.6795279164775311E-2</v>
      </c>
      <c r="C12" s="3">
        <v>6.6727190195188385E-2</v>
      </c>
      <c r="D12" s="3">
        <v>-8.2160689968225148E-2</v>
      </c>
      <c r="E12" s="3">
        <v>0.11302768951429867</v>
      </c>
      <c r="F12" s="3">
        <v>-1.0440308669995459E-2</v>
      </c>
      <c r="G12" s="3">
        <v>1.3136631865637765</v>
      </c>
    </row>
    <row r="13" spans="1:7" x14ac:dyDescent="0.3">
      <c r="B13" s="3">
        <v>-1.4914726671422088E-2</v>
      </c>
      <c r="C13" s="3">
        <v>-0.1106283639193308</v>
      </c>
      <c r="D13" s="3">
        <v>3.5146877634394662E-2</v>
      </c>
      <c r="E13" s="3">
        <v>-2.704104792166526E-2</v>
      </c>
      <c r="F13" s="3">
        <v>8.3392776084560014E-2</v>
      </c>
      <c r="G13" s="3">
        <v>3.6685039880682186</v>
      </c>
    </row>
    <row r="14" spans="1:7" x14ac:dyDescent="0.3">
      <c r="A14" s="4" t="s">
        <v>31</v>
      </c>
      <c r="B14" s="10"/>
      <c r="C14" s="10"/>
      <c r="D14" s="10"/>
      <c r="E14" s="10"/>
      <c r="F14" s="10"/>
      <c r="G14" s="10"/>
    </row>
    <row r="15" spans="1:7" x14ac:dyDescent="0.3">
      <c r="B15" s="4">
        <f t="array" ref="B15:F19">MINVERSE(B9:F13)</f>
        <v>11.000000000000002</v>
      </c>
      <c r="C15" s="4">
        <v>3.0000000000000009</v>
      </c>
      <c r="D15" s="4">
        <v>2.9461641765460731E-17</v>
      </c>
      <c r="E15" s="4">
        <v>1</v>
      </c>
      <c r="F15" s="4">
        <v>1.9999999999999998</v>
      </c>
      <c r="G15" s="4">
        <f t="array" ref="G15:G19">MMULT(B15:F19,G9:G13)</f>
        <v>45.000000000000007</v>
      </c>
    </row>
    <row r="16" spans="1:7" x14ac:dyDescent="0.3">
      <c r="B16" s="4">
        <v>-6.6908130953073591E-16</v>
      </c>
      <c r="C16" s="4">
        <v>3.9999999999999991</v>
      </c>
      <c r="D16" s="4">
        <v>1.9999999999999993</v>
      </c>
      <c r="E16" s="4">
        <v>-6.2726372768506488E-16</v>
      </c>
      <c r="F16" s="4">
        <v>0.99999999999999767</v>
      </c>
      <c r="G16" s="4">
        <v>29.999999999999996</v>
      </c>
    </row>
    <row r="17" spans="2:7" x14ac:dyDescent="0.3">
      <c r="B17" s="4">
        <v>2.9999999999999991</v>
      </c>
      <c r="C17" s="4">
        <v>1.9999999999999989</v>
      </c>
      <c r="D17" s="4">
        <v>6.9999999999999973</v>
      </c>
      <c r="E17" s="4">
        <v>0.99999999999999967</v>
      </c>
      <c r="F17" s="4">
        <v>-1.3392571723147071E-15</v>
      </c>
      <c r="G17" s="4">
        <v>14.999999999999991</v>
      </c>
    </row>
    <row r="18" spans="2:7" x14ac:dyDescent="0.3">
      <c r="B18" s="4">
        <v>4.0000000000000009</v>
      </c>
      <c r="C18" s="4">
        <v>6.790203320252074E-17</v>
      </c>
      <c r="D18" s="4">
        <v>3.9999999999999996</v>
      </c>
      <c r="E18" s="4">
        <v>10.000000000000002</v>
      </c>
      <c r="F18" s="4">
        <v>1</v>
      </c>
      <c r="G18" s="4">
        <v>20</v>
      </c>
    </row>
    <row r="19" spans="2:7" x14ac:dyDescent="0.3">
      <c r="B19" s="4">
        <v>2</v>
      </c>
      <c r="C19" s="4">
        <v>4.9999999999999991</v>
      </c>
      <c r="D19" s="4">
        <v>1</v>
      </c>
      <c r="E19" s="4">
        <v>2.9999999999999996</v>
      </c>
      <c r="F19" s="4">
        <v>13.999999999999995</v>
      </c>
      <c r="G19" s="4">
        <v>92</v>
      </c>
    </row>
    <row r="21" spans="2:7" x14ac:dyDescent="0.3">
      <c r="B21" s="8" t="s">
        <v>43</v>
      </c>
      <c r="C21" s="9">
        <f>1.423902</f>
        <v>1.423902</v>
      </c>
    </row>
    <row r="22" spans="2:7" x14ac:dyDescent="0.3">
      <c r="B22" s="8" t="s">
        <v>44</v>
      </c>
      <c r="C22" s="9">
        <f>6.895467</f>
        <v>6.895467</v>
      </c>
    </row>
    <row r="23" spans="2:7" x14ac:dyDescent="0.3">
      <c r="B23" s="8" t="s">
        <v>45</v>
      </c>
      <c r="C23" s="9">
        <f>-0.62519</f>
        <v>-0.62519000000000002</v>
      </c>
    </row>
    <row r="24" spans="2:7" x14ac:dyDescent="0.3">
      <c r="B24" s="8" t="s">
        <v>46</v>
      </c>
      <c r="C24" s="9">
        <f>1.313663</f>
        <v>1.313663</v>
      </c>
    </row>
    <row r="25" spans="2:7" x14ac:dyDescent="0.3">
      <c r="B25" s="8" t="s">
        <v>47</v>
      </c>
      <c r="C25" s="9">
        <f>3.668504</f>
        <v>3.668504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3477-587E-4BC0-980B-54C7EE9C1CCD}">
  <dimension ref="A1:B5"/>
  <sheetViews>
    <sheetView zoomScaleNormal="100" workbookViewId="0">
      <selection activeCell="A6" sqref="A6"/>
    </sheetView>
  </sheetViews>
  <sheetFormatPr defaultRowHeight="14.4" x14ac:dyDescent="0.3"/>
  <cols>
    <col min="1" max="1" width="21.77734375" customWidth="1"/>
    <col min="2" max="2" width="18.21875" customWidth="1"/>
    <col min="3" max="3" width="20.88671875" customWidth="1"/>
    <col min="4" max="4" width="5.21875" customWidth="1"/>
  </cols>
  <sheetData>
    <row r="1" spans="1:2" x14ac:dyDescent="0.3">
      <c r="A1" s="3" t="s">
        <v>32</v>
      </c>
      <c r="B1" s="6">
        <f>(2*x*x) + (y*y) -1</f>
        <v>-5.3629807261756923E-8</v>
      </c>
    </row>
    <row r="2" spans="1:2" x14ac:dyDescent="0.3">
      <c r="A2" s="3" t="s">
        <v>33</v>
      </c>
      <c r="B2" s="6">
        <f xml:space="preserve"> ((0.5*x - 0.5)*(0.5*x - 0.5)) + (2*(y - 0.25)*(y - 0.25)) - 1</f>
        <v>-2.1595975008281698E-9</v>
      </c>
    </row>
    <row r="3" spans="1:2" x14ac:dyDescent="0.3">
      <c r="A3" s="3"/>
      <c r="B3" s="6">
        <f>SUM(B1:B2)</f>
        <v>-5.5789404762585093E-8</v>
      </c>
    </row>
    <row r="4" spans="1:2" x14ac:dyDescent="0.3">
      <c r="A4" s="5" t="s">
        <v>48</v>
      </c>
      <c r="B4" s="5">
        <v>0.29127034271422192</v>
      </c>
    </row>
    <row r="5" spans="1:2" x14ac:dyDescent="0.3">
      <c r="A5" s="5" t="s">
        <v>49</v>
      </c>
      <c r="B5" s="5">
        <v>0.91122067649964578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B343-BABE-43BA-AD9E-DD63362E5B99}">
  <dimension ref="A1:D13"/>
  <sheetViews>
    <sheetView workbookViewId="0">
      <selection activeCell="E9" sqref="E9"/>
    </sheetView>
  </sheetViews>
  <sheetFormatPr defaultRowHeight="14.4" x14ac:dyDescent="0.3"/>
  <cols>
    <col min="1" max="1" width="28.5546875" customWidth="1"/>
    <col min="2" max="2" width="29.21875" customWidth="1"/>
    <col min="3" max="3" width="11.21875" customWidth="1"/>
    <col min="4" max="4" width="12" bestFit="1" customWidth="1"/>
  </cols>
  <sheetData>
    <row r="1" spans="1:4" x14ac:dyDescent="0.3">
      <c r="A1" s="2" t="s">
        <v>40</v>
      </c>
    </row>
    <row r="3" spans="1:4" x14ac:dyDescent="0.3">
      <c r="A3" s="11" t="s">
        <v>7</v>
      </c>
    </row>
    <row r="4" spans="1:4" x14ac:dyDescent="0.3">
      <c r="A4" s="6" t="s">
        <v>8</v>
      </c>
      <c r="B4" s="6">
        <f>77</f>
        <v>77</v>
      </c>
      <c r="C4" s="6">
        <f>273.15 +77</f>
        <v>350.15</v>
      </c>
      <c r="D4" s="6" t="s">
        <v>35</v>
      </c>
    </row>
    <row r="5" spans="1:4" x14ac:dyDescent="0.3">
      <c r="A5" s="6" t="s">
        <v>9</v>
      </c>
      <c r="B5" s="6">
        <f>1</f>
        <v>1</v>
      </c>
      <c r="C5" s="6">
        <f>1</f>
        <v>1</v>
      </c>
    </row>
    <row r="6" spans="1:4" x14ac:dyDescent="0.3">
      <c r="A6" s="6" t="s">
        <v>11</v>
      </c>
      <c r="B6" s="6">
        <f>2.877*10^8</f>
        <v>287700000</v>
      </c>
      <c r="C6" s="6">
        <f>2.877*10^8</f>
        <v>287700000</v>
      </c>
    </row>
    <row r="7" spans="1:4" x14ac:dyDescent="0.3">
      <c r="A7" s="6" t="s">
        <v>10</v>
      </c>
      <c r="B7" s="6">
        <v>60.210999999999999</v>
      </c>
      <c r="C7" s="6">
        <v>60.210999999999999</v>
      </c>
    </row>
    <row r="8" spans="1:4" x14ac:dyDescent="0.3">
      <c r="A8" s="6" t="s">
        <v>41</v>
      </c>
      <c r="B8" s="6">
        <v>83.14</v>
      </c>
      <c r="C8" s="6">
        <f>83.14</f>
        <v>83.14</v>
      </c>
    </row>
    <row r="9" spans="1:4" x14ac:dyDescent="0.3">
      <c r="A9" s="6"/>
      <c r="B9" s="6"/>
      <c r="C9" s="6">
        <f>(RG*T/(V-b)) - (a/(SQRT(T)*(V)*(V + b))) - P</f>
        <v>-6.6689128952468479E-7</v>
      </c>
    </row>
    <row r="10" spans="1:4" x14ac:dyDescent="0.3">
      <c r="A10" s="1" t="s">
        <v>50</v>
      </c>
      <c r="B10" s="1">
        <v>28637.065267233826</v>
      </c>
      <c r="C10" s="1" t="s">
        <v>34</v>
      </c>
    </row>
    <row r="11" spans="1:4" x14ac:dyDescent="0.3">
      <c r="A11" s="2"/>
      <c r="B11" s="2"/>
      <c r="C11" s="2" t="s">
        <v>39</v>
      </c>
    </row>
    <row r="12" spans="1:4" x14ac:dyDescent="0.3">
      <c r="A12" s="2" t="s">
        <v>36</v>
      </c>
      <c r="B12" s="2" t="s">
        <v>37</v>
      </c>
      <c r="C12" s="2">
        <f>RG*T/P</f>
        <v>29111.470999999998</v>
      </c>
    </row>
    <row r="13" spans="1:4" x14ac:dyDescent="0.3">
      <c r="A13" s="2" t="s">
        <v>42</v>
      </c>
      <c r="B13" s="2" t="s">
        <v>38</v>
      </c>
      <c r="C13" s="2">
        <f>1.1*b</f>
        <v>66.232100000000003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EE1F-5754-4C1A-81DB-2D38233770FE}">
  <dimension ref="A1:G18"/>
  <sheetViews>
    <sheetView tabSelected="1" workbookViewId="0">
      <selection activeCell="F11" sqref="F11"/>
    </sheetView>
  </sheetViews>
  <sheetFormatPr defaultRowHeight="14.4" x14ac:dyDescent="0.3"/>
  <cols>
    <col min="1" max="1" width="25.77734375" customWidth="1"/>
    <col min="2" max="2" width="10.21875" customWidth="1"/>
    <col min="3" max="3" width="11.5546875" customWidth="1"/>
    <col min="9" max="10" width="12" bestFit="1" customWidth="1"/>
  </cols>
  <sheetData>
    <row r="1" spans="1:7" x14ac:dyDescent="0.3">
      <c r="A1" s="14" t="s">
        <v>22</v>
      </c>
      <c r="B1" s="3"/>
      <c r="C1" s="3"/>
      <c r="D1" s="3"/>
      <c r="E1" s="3"/>
    </row>
    <row r="2" spans="1:7" x14ac:dyDescent="0.3">
      <c r="A2" s="5" t="s">
        <v>12</v>
      </c>
      <c r="B2" s="5"/>
      <c r="C2" s="5"/>
      <c r="D2" s="5"/>
    </row>
    <row r="3" spans="1:7" x14ac:dyDescent="0.3">
      <c r="A3" s="5" t="s">
        <v>13</v>
      </c>
      <c r="B3" s="5"/>
      <c r="C3" s="5"/>
      <c r="D3" s="5"/>
    </row>
    <row r="4" spans="1:7" x14ac:dyDescent="0.3">
      <c r="A4" s="5" t="s">
        <v>14</v>
      </c>
      <c r="B4" s="5"/>
      <c r="C4" s="5"/>
      <c r="D4" s="5"/>
    </row>
    <row r="5" spans="1:7" x14ac:dyDescent="0.3">
      <c r="A5" s="5" t="s">
        <v>63</v>
      </c>
      <c r="B5" s="5"/>
      <c r="C5" s="5"/>
      <c r="D5" s="5"/>
    </row>
    <row r="6" spans="1:7" x14ac:dyDescent="0.3">
      <c r="A6" s="5" t="s">
        <v>15</v>
      </c>
      <c r="B6" s="5"/>
      <c r="C6" s="5"/>
      <c r="D6" s="5"/>
    </row>
    <row r="7" spans="1:7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0</v>
      </c>
      <c r="F7" s="1" t="s">
        <v>62</v>
      </c>
      <c r="G7" s="1" t="s">
        <v>52</v>
      </c>
    </row>
    <row r="8" spans="1:7" x14ac:dyDescent="0.3">
      <c r="A8" s="12" t="s">
        <v>16</v>
      </c>
      <c r="B8" s="12">
        <v>13.7819</v>
      </c>
      <c r="C8" s="12">
        <v>2726.81</v>
      </c>
      <c r="D8" s="12">
        <v>217.572</v>
      </c>
      <c r="E8" s="12">
        <f>(0.33*120)/F8</f>
        <v>0.1726275520385494</v>
      </c>
      <c r="F8" s="12">
        <f>EXP((A_1) - ((B_1)/(T_1+C_1)))</f>
        <v>229.39559492309164</v>
      </c>
      <c r="G8" s="12">
        <v>109.13089131521137</v>
      </c>
    </row>
    <row r="9" spans="1:7" x14ac:dyDescent="0.3">
      <c r="A9" s="7" t="s">
        <v>17</v>
      </c>
      <c r="B9" s="7">
        <v>13.932</v>
      </c>
      <c r="C9" s="7">
        <v>3056.96</v>
      </c>
      <c r="D9" s="7">
        <v>217.625</v>
      </c>
      <c r="E9" s="7">
        <f>(0.67*120)/F9</f>
        <v>0.82737244078023553</v>
      </c>
      <c r="F9" s="7">
        <f>EXP((A_2) - ((B_2)/(T_2+C_2)))</f>
        <v>97.175100398776323</v>
      </c>
      <c r="G9" s="7">
        <f>G8</f>
        <v>109.13089131521137</v>
      </c>
    </row>
    <row r="10" spans="1:7" x14ac:dyDescent="0.3">
      <c r="A10" s="7"/>
      <c r="B10" s="7"/>
      <c r="C10" s="7"/>
      <c r="D10" s="7" t="s">
        <v>51</v>
      </c>
      <c r="E10" s="7">
        <f>SUM(E8:E9)</f>
        <v>0.99999999281878493</v>
      </c>
      <c r="F10" s="7"/>
      <c r="G10" s="7"/>
    </row>
    <row r="11" spans="1:7" x14ac:dyDescent="0.3">
      <c r="A11" s="13" t="s">
        <v>27</v>
      </c>
      <c r="B11" s="13" t="s">
        <v>25</v>
      </c>
      <c r="C11" s="13">
        <f>E8</f>
        <v>0.1726275520385494</v>
      </c>
      <c r="D11" s="13"/>
    </row>
    <row r="12" spans="1:7" x14ac:dyDescent="0.3">
      <c r="A12" s="13" t="s">
        <v>27</v>
      </c>
      <c r="B12" s="13" t="s">
        <v>26</v>
      </c>
      <c r="C12" s="13">
        <f>G8</f>
        <v>109.13089131521137</v>
      </c>
      <c r="D12" s="13" t="s">
        <v>61</v>
      </c>
    </row>
    <row r="13" spans="1:7" x14ac:dyDescent="0.3">
      <c r="A13" s="6" t="s">
        <v>59</v>
      </c>
      <c r="B13" s="5"/>
      <c r="C13" s="5" t="s">
        <v>53</v>
      </c>
      <c r="D13" s="5" t="s">
        <v>54</v>
      </c>
      <c r="E13" s="5"/>
    </row>
    <row r="14" spans="1:7" x14ac:dyDescent="0.3">
      <c r="A14" s="6" t="s">
        <v>55</v>
      </c>
      <c r="B14" s="6" t="s">
        <v>23</v>
      </c>
      <c r="C14" s="6">
        <v>0.33</v>
      </c>
      <c r="D14" s="6">
        <f>120</f>
        <v>120</v>
      </c>
      <c r="E14" s="6" t="s">
        <v>24</v>
      </c>
    </row>
    <row r="15" spans="1:7" x14ac:dyDescent="0.3">
      <c r="A15" s="6" t="s">
        <v>56</v>
      </c>
      <c r="B15" s="6" t="s">
        <v>25</v>
      </c>
      <c r="C15" s="6">
        <f>E8</f>
        <v>0.1726275520385494</v>
      </c>
      <c r="D15" s="6">
        <f>F8</f>
        <v>229.39559492309164</v>
      </c>
      <c r="E15" s="6" t="s">
        <v>24</v>
      </c>
    </row>
    <row r="16" spans="1:7" x14ac:dyDescent="0.3">
      <c r="A16" s="2" t="s">
        <v>60</v>
      </c>
      <c r="B16" s="2"/>
      <c r="C16" s="2"/>
      <c r="D16" s="2"/>
      <c r="E16" s="2"/>
    </row>
    <row r="17" spans="1:5" x14ac:dyDescent="0.3">
      <c r="A17" s="2" t="s">
        <v>57</v>
      </c>
      <c r="B17" s="2" t="s">
        <v>28</v>
      </c>
      <c r="C17" s="2">
        <v>0.67</v>
      </c>
      <c r="D17" s="2">
        <f>120</f>
        <v>120</v>
      </c>
      <c r="E17" s="2" t="s">
        <v>24</v>
      </c>
    </row>
    <row r="18" spans="1:5" x14ac:dyDescent="0.3">
      <c r="A18" s="2" t="s">
        <v>58</v>
      </c>
      <c r="B18" s="2" t="s">
        <v>29</v>
      </c>
      <c r="C18" s="2">
        <f>E9</f>
        <v>0.82737244078023553</v>
      </c>
      <c r="D18" s="2">
        <f>F9</f>
        <v>97.175100398776323</v>
      </c>
      <c r="E1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P1</vt:lpstr>
      <vt:lpstr>P2</vt:lpstr>
      <vt:lpstr>P3</vt:lpstr>
      <vt:lpstr>P4</vt:lpstr>
      <vt:lpstr>a</vt:lpstr>
      <vt:lpstr>A_1</vt:lpstr>
      <vt:lpstr>A_2</vt:lpstr>
      <vt:lpstr>b</vt:lpstr>
      <vt:lpstr>B_1</vt:lpstr>
      <vt:lpstr>B_2</vt:lpstr>
      <vt:lpstr>C_1</vt:lpstr>
      <vt:lpstr>C_2</vt:lpstr>
      <vt:lpstr>LV</vt:lpstr>
      <vt:lpstr>LVV</vt:lpstr>
      <vt:lpstr>P</vt:lpstr>
      <vt:lpstr>RG</vt:lpstr>
      <vt:lpstr>T</vt:lpstr>
      <vt:lpstr>T_1</vt:lpstr>
      <vt:lpstr>T_2</vt:lpstr>
      <vt:lpstr>V</vt:lpstr>
      <vt:lpstr>VAPOR</vt:lpstr>
      <vt:lpstr>VV</vt:lpstr>
      <vt:lpstr>VVV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Hook</dc:creator>
  <cp:lastModifiedBy>Jeremy Hook</cp:lastModifiedBy>
  <dcterms:created xsi:type="dcterms:W3CDTF">2020-01-15T23:40:53Z</dcterms:created>
  <dcterms:modified xsi:type="dcterms:W3CDTF">2020-01-22T07:39:32Z</dcterms:modified>
</cp:coreProperties>
</file>