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A262AA5E-06D0-864B-A647-CB4CC3690E9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_xlchart.v1.0" hidden="1">Dashboard!$B$20:$B$26</definedName>
    <definedName name="_xlchart.v1.1" hidden="1">Dashboard!$C$20:$C$26</definedName>
    <definedName name="_xlchart.v2.2" hidden="1">Dashboard!$B$20:$B$26</definedName>
    <definedName name="_xlchart.v2.3" hidden="1">Dashboard!$C$20:$C$26</definedName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75" i="3" l="1"/>
  <c r="H77" i="3"/>
  <c r="E88" i="3"/>
  <c r="F3" i="2"/>
  <c r="L25" i="4"/>
  <c r="K25" i="4"/>
  <c r="L22" i="4"/>
  <c r="K22" i="4"/>
  <c r="L21" i="4"/>
  <c r="K21" i="4"/>
  <c r="L20" i="4"/>
  <c r="K20" i="4"/>
  <c r="G3" i="2"/>
  <c r="E80" i="3"/>
  <c r="F75" i="3"/>
  <c r="F77" i="3"/>
  <c r="E77" i="3"/>
  <c r="E75" i="3"/>
  <c r="C34" i="1"/>
  <c r="C80" i="3" l="1"/>
  <c r="C77" i="3"/>
  <c r="C44" i="2"/>
  <c r="C43" i="2"/>
  <c r="D43" i="2"/>
  <c r="E43" i="2"/>
  <c r="F43" i="2"/>
  <c r="G43" i="2"/>
  <c r="H43" i="2"/>
  <c r="I43" i="2"/>
  <c r="J43" i="2"/>
  <c r="M43" i="2"/>
  <c r="D44" i="2"/>
  <c r="E44" i="2"/>
  <c r="F44" i="2"/>
  <c r="G44" i="2"/>
  <c r="H44" i="2"/>
  <c r="I44" i="2"/>
  <c r="J44" i="2"/>
  <c r="M44" i="2"/>
  <c r="D45" i="2"/>
  <c r="D46" i="2"/>
  <c r="D47" i="2"/>
  <c r="D48" i="2"/>
  <c r="J25" i="4"/>
  <c r="I25" i="4"/>
  <c r="J22" i="4"/>
  <c r="I22" i="4"/>
  <c r="J21" i="4"/>
  <c r="I21" i="4"/>
  <c r="J20" i="4"/>
  <c r="I20" i="4"/>
  <c r="F25" i="4" l="1"/>
  <c r="E25" i="4"/>
  <c r="H25" i="4"/>
  <c r="G25" i="4"/>
  <c r="H22" i="4"/>
  <c r="G22" i="4"/>
  <c r="H21" i="4"/>
  <c r="G21" i="4"/>
  <c r="H20" i="4"/>
  <c r="G20" i="4"/>
  <c r="F22" i="4"/>
  <c r="E22" i="4"/>
  <c r="F21" i="4"/>
  <c r="E21" i="4"/>
  <c r="E20" i="4"/>
  <c r="F20" i="4"/>
  <c r="F5" i="4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F96" i="3"/>
  <c r="F84" i="3"/>
  <c r="L43" i="2" l="1"/>
  <c r="L44" i="2"/>
  <c r="K43" i="2"/>
  <c r="K44" i="2"/>
  <c r="H46" i="2"/>
  <c r="F46" i="2"/>
  <c r="E46" i="2"/>
  <c r="G28" i="1"/>
  <c r="H105" i="3"/>
  <c r="F28" i="1"/>
  <c r="F105" i="3"/>
  <c r="I7" i="2"/>
  <c r="J46" i="2"/>
  <c r="J7" i="2"/>
  <c r="K46" i="2"/>
  <c r="I46" i="2"/>
  <c r="G27" i="2"/>
  <c r="M19" i="2"/>
  <c r="M21" i="2"/>
  <c r="M55" i="2" s="1"/>
  <c r="M46" i="2"/>
  <c r="L11" i="2"/>
  <c r="L46" i="2"/>
  <c r="C46" i="2"/>
  <c r="G46" i="2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E11" i="2"/>
  <c r="F11" i="2"/>
  <c r="J11" i="2"/>
  <c r="E5" i="4"/>
  <c r="F9" i="2"/>
  <c r="F13" i="2" s="1"/>
  <c r="F21" i="2" s="1"/>
  <c r="F55" i="2" s="1"/>
  <c r="E9" i="2"/>
  <c r="E13" i="2" s="1"/>
  <c r="E21" i="2" s="1"/>
  <c r="E55" i="2" s="1"/>
  <c r="L7" i="2"/>
  <c r="C7" i="2"/>
  <c r="M13" i="2"/>
  <c r="M11" i="2"/>
  <c r="E7" i="2"/>
  <c r="C11" i="2"/>
  <c r="D9" i="2"/>
  <c r="D13" i="2" s="1"/>
  <c r="D21" i="2" s="1"/>
  <c r="D55" i="2" s="1"/>
  <c r="H7" i="2"/>
  <c r="H9" i="2"/>
  <c r="H13" i="2" s="1"/>
  <c r="H21" i="2" s="1"/>
  <c r="H55" i="2" s="1"/>
  <c r="K11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L13" i="2" s="1"/>
  <c r="L21" i="2" s="1"/>
  <c r="I9" i="2"/>
  <c r="I13" i="2" s="1"/>
  <c r="I21" i="2" s="1"/>
  <c r="I55" i="2" s="1"/>
  <c r="D7" i="2"/>
  <c r="K9" i="2"/>
  <c r="K13" i="2" s="1"/>
  <c r="K21" i="2" s="1"/>
  <c r="J9" i="2"/>
  <c r="J13" i="2" s="1"/>
  <c r="J21" i="2" s="1"/>
  <c r="J55" i="2" s="1"/>
  <c r="F102" i="3"/>
  <c r="H102" i="3"/>
  <c r="C93" i="3"/>
  <c r="M20" i="2"/>
  <c r="L19" i="2" l="1"/>
  <c r="L55" i="2"/>
  <c r="L54" i="2"/>
  <c r="K55" i="2"/>
  <c r="K54" i="2"/>
  <c r="K19" i="2"/>
  <c r="J19" i="2"/>
  <c r="I19" i="2"/>
  <c r="H19" i="2"/>
  <c r="J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9" i="3" l="1"/>
  <c r="I94" i="3" l="1"/>
  <c r="H103" i="3" s="1"/>
  <c r="G26" i="1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F103" i="3" l="1"/>
  <c r="E103" i="3" s="1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I77" i="3"/>
  <c r="F4" i="2"/>
  <c r="G20" i="2"/>
  <c r="F20" i="2"/>
  <c r="E20" i="2"/>
  <c r="I75" i="3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D29" i="1" l="1"/>
  <c r="F80" i="3"/>
  <c r="E83" i="3"/>
  <c r="E85" i="3" s="1"/>
  <c r="E86" i="3" s="1"/>
  <c r="F83" i="3"/>
  <c r="F88" i="3" l="1"/>
  <c r="E87" i="3"/>
  <c r="F93" i="3" s="1"/>
  <c r="F85" i="3"/>
  <c r="F97" i="3" l="1"/>
  <c r="F100" i="3" l="1"/>
  <c r="F106" i="3" s="1"/>
  <c r="E97" i="3"/>
  <c r="E100" i="3" s="1"/>
  <c r="E106" i="3" s="1"/>
  <c r="C29" i="1" s="1"/>
  <c r="F29" i="1"/>
  <c r="C106" i="3"/>
</calcChain>
</file>

<file path=xl/sharedStrings.xml><?xml version="1.0" encoding="utf-8"?>
<sst xmlns="http://schemas.openxmlformats.org/spreadsheetml/2006/main" count="366" uniqueCount="265">
  <si>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</si>
  <si>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</si>
  <si>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</si>
  <si>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</si>
  <si>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</si>
  <si>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</si>
  <si>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</si>
  <si>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</si>
  <si>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</si>
  <si>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</si>
  <si>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</si>
  <si>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</si>
  <si>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</si>
  <si>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</si>
  <si>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</si>
  <si>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</si>
  <si>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</si>
  <si>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</si>
  <si>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</si>
  <si>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</si>
  <si>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</si>
  <si>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</si>
  <si>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</si>
  <si>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</si>
  <si>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</si>
  <si>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</si>
  <si>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</si>
  <si>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</si>
  <si>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</si>
  <si>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</si>
  <si>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</si>
  <si>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</si>
  <si>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</si>
  <si>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</si>
  <si>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</si>
  <si>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</si>
  <si>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</si>
  <si>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</si>
  <si>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</si>
  <si>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</si>
  <si>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</si>
  <si>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</si>
  <si>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</si>
  <si>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</si>
  <si>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</si>
  <si>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</si>
  <si>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</si>
  <si>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</si>
  <si>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</si>
  <si>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</si>
  <si>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</si>
  <si>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</si>
  <si>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</si>
  <si>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</si>
  <si>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</si>
  <si>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</si>
  <si>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</si>
  <si>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</si>
  <si>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</si>
  <si>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</si>
  <si>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</si>
  <si>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</si>
  <si>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</si>
  <si>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</si>
  <si>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</si>
  <si>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</si>
  <si>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</si>
  <si>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</si>
  <si>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</si>
  <si>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</si>
  <si>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</si>
  <si>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</si>
  <si>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</si>
  <si>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</si>
  <si>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</si>
  <si>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</si>
  <si>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</si>
  <si>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</si>
  <si>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</si>
  <si>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</si>
  <si>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</si>
  <si>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</si>
  <si>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</si>
  <si>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</si>
  <si>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</si>
  <si>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</si>
  <si>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</si>
  <si>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</si>
  <si>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</si>
  <si>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</si>
  <si>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</si>
  <si>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</si>
  <si>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</si>
  <si>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</si>
  <si>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</si>
  <si>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</si>
  <si>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</si>
  <si>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</si>
  <si>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</si>
  <si>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</si>
  <si>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</si>
  <si>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</si>
  <si>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</si>
  <si>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</si>
  <si>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</si>
  <si>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</si>
  <si>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</si>
  <si>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</si>
  <si>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</si>
  <si>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</si>
  <si>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</si>
  <si>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</si>
  <si>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</si>
  <si>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</si>
  <si>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</si>
  <si>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</si>
  <si>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</si>
  <si>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</si>
  <si>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</si>
  <si>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</si>
  <si>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</si>
  <si>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</si>
  <si>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</si>
  <si>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</si>
  <si>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</si>
  <si>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</si>
  <si>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</si>
  <si>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</si>
  <si>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</si>
  <si>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</si>
  <si>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</si>
  <si>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</si>
  <si>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</si>
  <si>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</si>
  <si>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</si>
  <si>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</si>
  <si>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</si>
  <si>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</si>
  <si>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</si>
  <si>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</si>
  <si>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</si>
  <si>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</si>
  <si>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</si>
  <si>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</si>
  <si>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</si>
  <si>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</si>
  <si>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</si>
  <si>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</si>
  <si>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</si>
  <si>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</si>
  <si>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</si>
  <si>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</si>
  <si>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</si>
  <si>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</si>
  <si>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</si>
  <si>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</si>
  <si>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</si>
  <si>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</si>
  <si>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</si>
  <si>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</si>
  <si>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</si>
  <si>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</si>
  <si>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</si>
  <si>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</si>
  <si>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</si>
  <si>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</si>
  <si>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</si>
  <si>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</si>
  <si>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</si>
  <si>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</si>
  <si>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</si>
  <si>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</si>
  <si>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</si>
  <si>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</si>
  <si>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</si>
  <si>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</si>
  <si>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</si>
  <si>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</si>
  <si>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</si>
  <si>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</si>
  <si>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</si>
  <si>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</si>
  <si>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</si>
  <si>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</si>
  <si>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</si>
  <si>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</si>
  <si>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</si>
  <si>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</si>
  <si>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</si>
  <si>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</si>
  <si>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</si>
  <si>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</si>
  <si>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</si>
  <si>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</si>
  <si>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</si>
  <si>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</si>
  <si>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</si>
  <si>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</si>
  <si>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</si>
  <si>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</si>
  <si>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</si>
  <si>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</si>
  <si>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</si>
  <si>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</si>
  <si>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</si>
  <si>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</si>
  <si>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</si>
  <si>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</si>
  <si>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</si>
  <si>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</si>
  <si>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</si>
  <si>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</si>
  <si>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</si>
  <si>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</si>
  <si>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</si>
  <si>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</si>
  <si>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</si>
  <si>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</si>
  <si>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</si>
  <si>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</si>
  <si>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</si>
  <si>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</si>
  <si>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</si>
  <si>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</si>
  <si>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</si>
  <si>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</si>
  <si>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</si>
  <si>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</si>
  <si>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</si>
  <si>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</si>
  <si>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</si>
  <si>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</si>
  <si>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</si>
  <si>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</si>
  <si>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</si>
  <si>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</si>
  <si>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</si>
  <si>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</si>
  <si>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</si>
  <si>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</si>
  <si>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中國石油股份</t>
    <phoneticPr fontId="20" type="noConversion"/>
  </si>
  <si>
    <t>C0013</t>
    <phoneticPr fontId="20" type="noConversion"/>
  </si>
  <si>
    <t>Avg</t>
  </si>
  <si>
    <t>(MCX-D&amp;A)/Sales</t>
  </si>
  <si>
    <t>OPEX/Sales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</si>
  <si>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</si>
  <si>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</si>
  <si>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</si>
  <si>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</si>
  <si>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</si>
  <si>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</si>
  <si>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</si>
  <si>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</si>
  <si>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3. Upward earnings and ROE trend?</t>
    <phoneticPr fontId="20" type="noConversion"/>
  </si>
  <si>
    <t>4. Stable margin?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</si>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</sst>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0" fontId="28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</c:v>
                </c:pt>
                <c:pt idx="1">
                  <c:v>5.04E-2</c:v>
                </c:pt>
                <c:pt idx="2">
                  <c:v>7.9916652607163307E-3</c:v>
                </c:pt>
                <c:pt idx="3">
                  <c:v>1.8938483141216308E-2</c:v>
                </c:pt>
                <c:pt idx="4">
                  <c:v>0</c:v>
                </c:pt>
                <c:pt idx="5">
                  <c:v>6.8684548583665562E-3</c:v>
                </c:pt>
                <c:pt idx="6">
                  <c:v>4.5801396739700823E-2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2" zoomScaleNormal="100" workbookViewId="0">
      <selection activeCell="L28" sqref="L2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228</v>
      </c>
    </row>
    <row r="4" spans="1:6" ht="14" x14ac:dyDescent="0.15">
      <c r="B4" s="142" t="s">
        <v>205</v>
      </c>
      <c r="C4" s="195" t="s">
        <v>239</v>
      </c>
      <c r="E4" s="240" t="s">
        <v>220</v>
      </c>
      <c r="F4" s="12" t="str">
        <f>C11</f>
        <v>CNY</v>
      </c>
    </row>
    <row r="5" spans="1:6" ht="17" x14ac:dyDescent="0.25">
      <c r="B5" s="142" t="s">
        <v>206</v>
      </c>
      <c r="C5" s="241" t="s">
        <v>240</v>
      </c>
      <c r="E5" s="231">
        <f>C18</f>
        <v>45291</v>
      </c>
      <c r="F5" s="232">
        <f>0.22+0.23</f>
        <v>0.45</v>
      </c>
    </row>
    <row r="6" spans="1:6" ht="14" x14ac:dyDescent="0.15">
      <c r="B6" s="142" t="s">
        <v>171</v>
      </c>
      <c r="C6" s="196">
        <v>45605</v>
      </c>
      <c r="E6" s="233" t="s">
        <v>218</v>
      </c>
      <c r="F6" s="232">
        <f>F5</f>
        <v>0.45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229</v>
      </c>
      <c r="C8" s="198" t="s">
        <v>46</v>
      </c>
    </row>
    <row r="9" spans="1:6" ht="14" x14ac:dyDescent="0.15">
      <c r="B9" s="141" t="s">
        <v>230</v>
      </c>
      <c r="C9" s="199" t="s">
        <v>241</v>
      </c>
    </row>
    <row r="10" spans="1:6" ht="14" x14ac:dyDescent="0.15">
      <c r="B10" s="141" t="s">
        <v>231</v>
      </c>
      <c r="C10" s="200">
        <v>183020977818</v>
      </c>
    </row>
    <row r="11" spans="1:6" ht="14" x14ac:dyDescent="0.15">
      <c r="B11" s="141" t="s">
        <v>232</v>
      </c>
      <c r="C11" s="199" t="s">
        <v>236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234</v>
      </c>
      <c r="C14" s="228">
        <v>45473</v>
      </c>
    </row>
    <row r="15" spans="1:6" ht="14" x14ac:dyDescent="0.15">
      <c r="B15" s="227" t="s">
        <v>233</v>
      </c>
      <c r="C15" s="182" t="s">
        <v>237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140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3011012</v>
      </c>
      <c r="D19" s="152">
        <v>3239167</v>
      </c>
      <c r="E19" s="152">
        <v>2614349</v>
      </c>
      <c r="F19" s="152">
        <v>1933836</v>
      </c>
      <c r="G19" s="152">
        <v>2516810</v>
      </c>
      <c r="H19" s="152">
        <v>2374934</v>
      </c>
      <c r="I19" s="152">
        <v>2015890</v>
      </c>
      <c r="J19" s="152">
        <v>1616903</v>
      </c>
      <c r="K19" s="152">
        <v>1725428</v>
      </c>
      <c r="L19" s="152">
        <v>2282962</v>
      </c>
      <c r="M19" s="152"/>
    </row>
    <row r="20" spans="2:13" ht="15" x14ac:dyDescent="0.15">
      <c r="B20" s="97" t="s">
        <v>108</v>
      </c>
      <c r="C20" s="153">
        <v>2597400</v>
      </c>
      <c r="D20" s="153">
        <v>2804756</v>
      </c>
      <c r="E20" s="153">
        <f>2071504+226664</f>
        <v>2298168</v>
      </c>
      <c r="F20" s="153">
        <f>1546604+194904</f>
        <v>1741508</v>
      </c>
      <c r="G20" s="153">
        <f>2002403+226905</f>
        <v>2229308</v>
      </c>
      <c r="H20" s="153">
        <f>1839562+219291</f>
        <v>2058853</v>
      </c>
      <c r="I20" s="153">
        <f>1584245+196095</f>
        <v>1780340</v>
      </c>
      <c r="J20" s="153">
        <f>1235707+187846</f>
        <v>1423553</v>
      </c>
      <c r="K20" s="153">
        <f>1300419+200255</f>
        <v>1500674</v>
      </c>
      <c r="L20" s="153">
        <f>1735354+227774</f>
        <v>1963128</v>
      </c>
      <c r="M20" s="153"/>
    </row>
    <row r="21" spans="2:13" ht="15" x14ac:dyDescent="0.15">
      <c r="B21" s="97" t="s">
        <v>106</v>
      </c>
      <c r="C21" s="153">
        <v>125283</v>
      </c>
      <c r="D21" s="153">
        <v>118875</v>
      </c>
      <c r="E21" s="153">
        <f>71295+51701</f>
        <v>122996</v>
      </c>
      <c r="F21" s="153">
        <f>71476+55315</f>
        <v>126791</v>
      </c>
      <c r="G21" s="153">
        <f>74108+61757</f>
        <v>135865</v>
      </c>
      <c r="H21" s="153">
        <f>69083+68148</f>
        <v>137231</v>
      </c>
      <c r="I21" s="153">
        <f>66067+77565</f>
        <v>143632</v>
      </c>
      <c r="J21" s="153">
        <f>63976+75958</f>
        <v>139934</v>
      </c>
      <c r="K21" s="153">
        <f>62961+79659</f>
        <v>142620</v>
      </c>
      <c r="L21" s="153">
        <f>63207+84595</f>
        <v>147802</v>
      </c>
      <c r="M21" s="153"/>
    </row>
    <row r="22" spans="2:13" ht="15" x14ac:dyDescent="0.15">
      <c r="B22" s="97" t="s">
        <v>107</v>
      </c>
      <c r="C22" s="153">
        <v>247452</v>
      </c>
      <c r="D22" s="153">
        <v>238036</v>
      </c>
      <c r="E22" s="153">
        <f>184636+11196+5483+3428</f>
        <v>204743</v>
      </c>
      <c r="F22" s="153">
        <f>178648+11272+5078+3513</f>
        <v>198511</v>
      </c>
      <c r="G22" s="153">
        <f>63194+128684+11977+5259+2733</f>
        <v>211847</v>
      </c>
      <c r="H22" s="153">
        <f>61540+130730+4630+5455</f>
        <v>202355</v>
      </c>
      <c r="I22" s="153">
        <f>209913+4379+5140</f>
        <v>219432</v>
      </c>
      <c r="J22" s="153">
        <f>200053+4307+5291</f>
        <v>209651</v>
      </c>
      <c r="K22" s="153">
        <f>169201+4166+4491</f>
        <v>177858</v>
      </c>
      <c r="L22" s="153">
        <f>165344+4154+4483</f>
        <v>173981</v>
      </c>
      <c r="M22" s="153"/>
    </row>
    <row r="23" spans="2:13" ht="15" x14ac:dyDescent="0.15">
      <c r="B23" s="97" t="s">
        <v>109</v>
      </c>
      <c r="C23" s="153">
        <v>21957</v>
      </c>
      <c r="D23" s="153">
        <v>20016</v>
      </c>
      <c r="E23" s="153">
        <v>16729</v>
      </c>
      <c r="F23" s="153">
        <v>15746</v>
      </c>
      <c r="G23" s="153">
        <v>15666</v>
      </c>
      <c r="H23" s="153">
        <v>12826</v>
      </c>
      <c r="I23" s="153"/>
      <c r="J23" s="153"/>
      <c r="K23" s="153"/>
      <c r="L23" s="153"/>
      <c r="M23" s="153"/>
    </row>
    <row r="24" spans="2:13" ht="15" x14ac:dyDescent="0.15">
      <c r="B24" s="97" t="s">
        <v>110</v>
      </c>
      <c r="C24" s="153">
        <v>282519</v>
      </c>
      <c r="D24" s="153">
        <v>243752</v>
      </c>
      <c r="E24" s="153">
        <v>251178</v>
      </c>
      <c r="F24" s="153">
        <v>246493</v>
      </c>
      <c r="G24" s="153">
        <v>296776</v>
      </c>
      <c r="H24" s="153">
        <v>256106</v>
      </c>
      <c r="I24" s="153">
        <v>216227</v>
      </c>
      <c r="J24" s="153">
        <v>172386</v>
      </c>
      <c r="K24" s="153">
        <v>202238</v>
      </c>
      <c r="L24" s="153">
        <v>291729</v>
      </c>
      <c r="M24" s="153"/>
    </row>
    <row r="25" spans="2:13" ht="15" x14ac:dyDescent="0.15">
      <c r="B25" s="97" t="s">
        <v>112</v>
      </c>
      <c r="C25" s="153">
        <v>-13105</v>
      </c>
      <c r="D25" s="153">
        <v>46237</v>
      </c>
      <c r="E25" s="153">
        <f>15889+8265+3463</f>
        <v>27617</v>
      </c>
      <c r="F25" s="153">
        <f>-43645-14751-13320</f>
        <v>-71716</v>
      </c>
      <c r="G25" s="153">
        <f>5624+5017-39536</f>
        <v>-28895</v>
      </c>
      <c r="H25" s="153">
        <f>34705+9280-46421</f>
        <v>-2436</v>
      </c>
      <c r="I25" s="153">
        <f>-1141+2779-66156</f>
        <v>-64518</v>
      </c>
      <c r="J25" s="153">
        <f>22638-5281-23326</f>
        <v>-5969</v>
      </c>
      <c r="K25" s="153">
        <f>-36256-5581+37400</f>
        <v>-4437</v>
      </c>
      <c r="L25" s="153">
        <f>-59215-2651+27333</f>
        <v>-34533</v>
      </c>
      <c r="M25" s="153"/>
    </row>
    <row r="26" spans="2:13" ht="15" x14ac:dyDescent="0.15">
      <c r="B26" s="97" t="s">
        <v>127</v>
      </c>
      <c r="C26" s="153">
        <v>24063</v>
      </c>
      <c r="D26" s="153">
        <v>21554</v>
      </c>
      <c r="E26" s="153">
        <v>19739</v>
      </c>
      <c r="F26" s="153">
        <v>26528</v>
      </c>
      <c r="G26" s="153">
        <v>30409</v>
      </c>
      <c r="H26" s="153">
        <v>22718</v>
      </c>
      <c r="I26" s="153">
        <v>21648</v>
      </c>
      <c r="J26" s="153">
        <v>20652</v>
      </c>
      <c r="K26" s="153">
        <v>23826</v>
      </c>
      <c r="L26" s="153">
        <v>24877</v>
      </c>
      <c r="M26" s="153"/>
    </row>
    <row r="27" spans="2:13" ht="14" x14ac:dyDescent="0.15">
      <c r="B27" s="99" t="s">
        <v>113</v>
      </c>
      <c r="C27" s="153">
        <v>20681</v>
      </c>
      <c r="D27" s="153">
        <v>20705</v>
      </c>
      <c r="E27" s="153">
        <v>22526</v>
      </c>
      <c r="F27" s="153">
        <v>14479</v>
      </c>
      <c r="G27" s="153">
        <v>21333</v>
      </c>
      <c r="H27" s="153">
        <v>20944</v>
      </c>
      <c r="I27" s="153">
        <v>13995</v>
      </c>
      <c r="J27" s="153">
        <v>21514</v>
      </c>
      <c r="K27" s="153">
        <v>6711</v>
      </c>
      <c r="L27" s="153">
        <v>11861</v>
      </c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120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155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119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144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145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143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207</v>
      </c>
      <c r="E39" s="112" t="s">
        <v>36</v>
      </c>
    </row>
    <row r="40" spans="2:13" ht="14" x14ac:dyDescent="0.15">
      <c r="B40" s="3" t="s">
        <v>38</v>
      </c>
      <c r="C40" s="59">
        <v>238880</v>
      </c>
      <c r="D40" s="60">
        <v>0.9</v>
      </c>
      <c r="E40" s="113"/>
    </row>
    <row r="41" spans="2:13" ht="14" x14ac:dyDescent="0.15">
      <c r="B41" s="1" t="s">
        <v>142</v>
      </c>
      <c r="C41" s="59"/>
      <c r="D41" s="60">
        <v>0.8</v>
      </c>
      <c r="E41" s="113"/>
    </row>
    <row r="42" spans="2:13" ht="14" x14ac:dyDescent="0.15">
      <c r="B42" s="3" t="s">
        <v>120</v>
      </c>
      <c r="C42" s="59">
        <v>142879</v>
      </c>
      <c r="D42" s="60">
        <f>D43</f>
        <v>0.6</v>
      </c>
      <c r="E42" s="113"/>
    </row>
    <row r="43" spans="2:13" ht="14" x14ac:dyDescent="0.15">
      <c r="B43" s="3" t="s">
        <v>42</v>
      </c>
      <c r="C43" s="59">
        <v>9895</v>
      </c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166</v>
      </c>
      <c r="C45" s="59">
        <v>11851</v>
      </c>
      <c r="D45" s="60">
        <f>D42</f>
        <v>0.6</v>
      </c>
      <c r="E45" s="113"/>
    </row>
    <row r="46" spans="2:13" ht="14" x14ac:dyDescent="0.15">
      <c r="B46" s="3" t="s">
        <v>121</v>
      </c>
      <c r="C46" s="59">
        <v>24847</v>
      </c>
      <c r="D46" s="60">
        <v>0.1</v>
      </c>
      <c r="E46" s="113"/>
    </row>
    <row r="47" spans="2:13" ht="14" x14ac:dyDescent="0.15">
      <c r="B47" s="3" t="s">
        <v>47</v>
      </c>
      <c r="C47" s="59">
        <v>182674</v>
      </c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123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>
        <v>61345</v>
      </c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167</v>
      </c>
      <c r="C55" s="59">
        <v>693</v>
      </c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>
        <v>292606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>
        <v>201156</v>
      </c>
      <c r="D59" s="60">
        <f>D57</f>
        <v>0.1</v>
      </c>
      <c r="E59" s="230" t="s">
        <v>46</v>
      </c>
    </row>
    <row r="60" spans="2:5" ht="14" x14ac:dyDescent="0.15">
      <c r="B60" s="3" t="s">
        <v>122</v>
      </c>
      <c r="C60" s="59">
        <v>1413348</v>
      </c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>
        <v>91529</v>
      </c>
      <c r="D62" s="60">
        <v>0.05</v>
      </c>
      <c r="E62" s="113"/>
    </row>
    <row r="63" spans="2:5" ht="14" x14ac:dyDescent="0.15">
      <c r="B63" s="3" t="s">
        <v>75</v>
      </c>
      <c r="C63" s="59">
        <v>24707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71887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40594</v>
      </c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>
        <v>11824</v>
      </c>
    </row>
    <row r="70" spans="2:3" ht="15" thickBot="1" x14ac:dyDescent="0.2">
      <c r="B70" s="80" t="s">
        <v>16</v>
      </c>
      <c r="C70" s="83">
        <v>716641</v>
      </c>
    </row>
    <row r="71" spans="2:3" ht="15" thickTop="1" x14ac:dyDescent="0.15">
      <c r="B71" s="3" t="s">
        <v>62</v>
      </c>
      <c r="C71" s="59">
        <v>70126</v>
      </c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>
        <v>11000</v>
      </c>
    </row>
    <row r="75" spans="2:3" ht="15" thickBot="1" x14ac:dyDescent="0.2">
      <c r="B75" s="80" t="s">
        <v>85</v>
      </c>
      <c r="C75" s="83">
        <v>373503</v>
      </c>
    </row>
    <row r="76" spans="2:3" ht="15" thickTop="1" x14ac:dyDescent="0.15">
      <c r="B76" s="73" t="s">
        <v>235</v>
      </c>
      <c r="C76" s="59">
        <v>1489904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5" priority="1">
      <formula>LEN(TRIM(C16))=0</formula>
    </cfRule>
  </conditionalFormatting>
  <conditionalFormatting sqref="C19:M27 D28:M37">
    <cfRule type="containsBlanks" dxfId="14" priority="7">
      <formula>LEN(TRIM(C19))=0</formula>
    </cfRule>
  </conditionalFormatting>
  <conditionalFormatting sqref="F5:F6">
    <cfRule type="containsBlanks" dxfId="13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5" zoomScaleNormal="100" workbookViewId="0">
      <selection activeCell="D29" sqref="D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15">
      <c r="B3" s="3" t="s">
        <v>205</v>
      </c>
      <c r="C3" s="246" t="str">
        <f>Inputs!C4</f>
        <v>0857.HK</v>
      </c>
      <c r="D3" s="247"/>
      <c r="E3" s="87"/>
      <c r="F3" s="3" t="s">
        <v>1</v>
      </c>
      <c r="G3" s="133">
        <v>5.5500001907348633</v>
      </c>
      <c r="H3" s="135" t="s">
        <v>2</v>
      </c>
    </row>
    <row r="4" spans="1:10" ht="15.75" customHeight="1" x14ac:dyDescent="0.15">
      <c r="B4" s="35" t="s">
        <v>206</v>
      </c>
      <c r="C4" s="248" t="str">
        <f>Inputs!C5</f>
        <v>中國石油股份</v>
      </c>
      <c r="D4" s="249"/>
      <c r="E4" s="87"/>
      <c r="F4" s="3" t="s">
        <v>3</v>
      </c>
      <c r="G4" s="252">
        <f>Inputs!C10</f>
        <v>183020977818</v>
      </c>
      <c r="H4" s="252"/>
      <c r="I4" s="39"/>
    </row>
    <row r="5" spans="1:10" ht="15.75" customHeight="1" x14ac:dyDescent="0.15">
      <c r="B5" s="3" t="s">
        <v>171</v>
      </c>
      <c r="C5" s="250">
        <f>Inputs!C6</f>
        <v>45605</v>
      </c>
      <c r="D5" s="251"/>
      <c r="E5" s="34"/>
      <c r="F5" s="35" t="s">
        <v>101</v>
      </c>
      <c r="G5" s="244">
        <f>G3*G4/1000000</f>
        <v>1015766.4617983812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203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201</v>
      </c>
      <c r="F9" s="144" t="s">
        <v>195</v>
      </c>
    </row>
    <row r="10" spans="1:10" ht="15.75" customHeight="1" x14ac:dyDescent="0.15">
      <c r="B10" s="1" t="s">
        <v>184</v>
      </c>
      <c r="C10" s="178">
        <v>4.2099999999999999E-2</v>
      </c>
      <c r="F10" s="111" t="s">
        <v>192</v>
      </c>
    </row>
    <row r="11" spans="1:10" ht="15.75" customHeight="1" thickBot="1" x14ac:dyDescent="0.2">
      <c r="B11" s="123" t="s">
        <v>188</v>
      </c>
      <c r="C11" s="179">
        <v>5.3099999999999994E-2</v>
      </c>
      <c r="D11" s="138" t="s">
        <v>199</v>
      </c>
      <c r="F11" s="111" t="s">
        <v>186</v>
      </c>
    </row>
    <row r="12" spans="1:10" ht="15.75" customHeight="1" thickTop="1" x14ac:dyDescent="0.15">
      <c r="B12" s="87" t="s">
        <v>138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185</v>
      </c>
      <c r="C14" s="178">
        <v>2.1309999999999999E-2</v>
      </c>
      <c r="F14" s="111" t="s">
        <v>191</v>
      </c>
    </row>
    <row r="15" spans="1:10" ht="15.75" customHeight="1" x14ac:dyDescent="0.15">
      <c r="B15" s="1" t="s">
        <v>196</v>
      </c>
      <c r="C15" s="178">
        <v>6.5000000000000002E-2</v>
      </c>
      <c r="F15" s="111" t="s">
        <v>189</v>
      </c>
    </row>
    <row r="16" spans="1:10" ht="15.75" customHeight="1" thickBot="1" x14ac:dyDescent="0.2">
      <c r="B16" s="123" t="s">
        <v>197</v>
      </c>
      <c r="C16" s="179">
        <v>0.16</v>
      </c>
      <c r="D16" s="145" t="s">
        <v>200</v>
      </c>
      <c r="F16" s="111" t="s">
        <v>187</v>
      </c>
    </row>
    <row r="17" spans="1:8" ht="15.75" customHeight="1" thickTop="1" x14ac:dyDescent="0.15">
      <c r="B17" s="87" t="s">
        <v>190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193</v>
      </c>
      <c r="C19" s="136" t="s">
        <v>52</v>
      </c>
      <c r="D19" s="87"/>
      <c r="E19" s="87"/>
      <c r="F19" s="143" t="s">
        <v>225</v>
      </c>
      <c r="G19" s="87"/>
      <c r="H19" s="87"/>
    </row>
    <row r="20" spans="1:8" ht="15.75" customHeight="1" x14ac:dyDescent="0.15">
      <c r="B20" s="138" t="s">
        <v>177</v>
      </c>
      <c r="C20" s="177">
        <f>Fin_Analysis!I75</f>
        <v>0.87</v>
      </c>
      <c r="F20" s="87" t="s">
        <v>224</v>
      </c>
      <c r="G20" s="178">
        <v>0.15</v>
      </c>
    </row>
    <row r="21" spans="1:8" ht="15.75" customHeight="1" x14ac:dyDescent="0.15">
      <c r="B21" s="138" t="s">
        <v>260</v>
      </c>
      <c r="C21" s="177">
        <f>Fin_Analysis!I77</f>
        <v>5.04E-2</v>
      </c>
      <c r="F21" s="87"/>
      <c r="G21" s="29"/>
    </row>
    <row r="22" spans="1:8" ht="15.75" customHeight="1" x14ac:dyDescent="0.15">
      <c r="B22" s="138" t="s">
        <v>178</v>
      </c>
      <c r="C22" s="177">
        <f>Fin_Analysis!I79</f>
        <v>7.9916652607163307E-3</v>
      </c>
      <c r="F22" s="143" t="s">
        <v>194</v>
      </c>
    </row>
    <row r="23" spans="1:8" ht="15.75" customHeight="1" x14ac:dyDescent="0.15">
      <c r="B23" s="138" t="s">
        <v>261</v>
      </c>
      <c r="C23" s="177">
        <f>Fin_Analysis!I80</f>
        <v>1.8938483141216308E-2</v>
      </c>
      <c r="F23" s="141" t="s">
        <v>198</v>
      </c>
      <c r="G23" s="183">
        <f>G3/(Data!C36*Data!C4/Common_Shares*Exchange_Rate)</f>
        <v>0.56093139737587294</v>
      </c>
    </row>
    <row r="24" spans="1:8" ht="15.75" customHeight="1" x14ac:dyDescent="0.15">
      <c r="B24" s="138" t="s">
        <v>179</v>
      </c>
      <c r="C24" s="177">
        <f>Fin_Analysis!I81</f>
        <v>0</v>
      </c>
      <c r="F24" s="141" t="s">
        <v>183</v>
      </c>
      <c r="G24" s="184">
        <f>(Fin_Analysis!H86*G7)/G3</f>
        <v>0.10987810697563294</v>
      </c>
    </row>
    <row r="25" spans="1:8" ht="15.75" customHeight="1" x14ac:dyDescent="0.15">
      <c r="B25" s="138" t="s">
        <v>202</v>
      </c>
      <c r="C25" s="177">
        <f>Fin_Analysis!I82</f>
        <v>6.8684548583665562E-3</v>
      </c>
      <c r="F25" s="141" t="s">
        <v>182</v>
      </c>
      <c r="G25" s="177">
        <f>Fin_Analysis!I88</f>
        <v>0.79627102561944574</v>
      </c>
    </row>
    <row r="26" spans="1:8" ht="15.75" customHeight="1" x14ac:dyDescent="0.15">
      <c r="B26" s="139" t="s">
        <v>181</v>
      </c>
      <c r="C26" s="177">
        <f>Fin_Analysis!I83</f>
        <v>4.5801396739700823E-2</v>
      </c>
      <c r="F26" s="142" t="s">
        <v>204</v>
      </c>
      <c r="G26" s="184">
        <f>Fin_Analysis!H88*Exchange_Rate/G3</f>
        <v>8.7492752934610424E-2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174</v>
      </c>
      <c r="D28" s="43" t="s">
        <v>175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176</v>
      </c>
      <c r="C29" s="131">
        <f>IF(Fin_Analysis!C108="Profit",Fin_Analysis!F100,IF(Fin_Analysis!C108="Dividend",Fin_Analysis!E103,Fin_Analysis!E106))</f>
        <v>3.33600790020866</v>
      </c>
      <c r="D29" s="130">
        <f>IF(Fin_Analysis!C108="Profit",Fin_Analysis!I100,IF(Fin_Analysis!C108="Dividend",Fin_Analysis!I103,Fin_Analysis!I106))</f>
        <v>8.4312383320013122</v>
      </c>
      <c r="E29" s="87"/>
      <c r="F29" s="132">
        <f>IF(Fin_Analysis!C108="Profit",Fin_Analysis!F100,IF(Fin_Analysis!C108="Dividend",Fin_Analysis!F103,Fin_Analysis!F106))</f>
        <v>4.2988163242598159</v>
      </c>
      <c r="G29" s="243">
        <f>IF(Fin_Analysis!C108="Profit",Fin_Analysis!H100,IF(Fin_Analysis!C108="Dividend",Fin_Analysis!H103,Fin_Analysis!H106))</f>
        <v>6.7449906656010494</v>
      </c>
      <c r="H29" s="243"/>
    </row>
    <row r="30" spans="1:8" ht="15.75" customHeight="1" x14ac:dyDescent="0.15"/>
    <row r="31" spans="1:8" ht="15.75" customHeight="1" x14ac:dyDescent="0.2">
      <c r="A31" s="5"/>
      <c r="B31" s="6" t="s">
        <v>247</v>
      </c>
      <c r="C31"/>
    </row>
    <row r="32" spans="1:8" ht="15.75" customHeight="1" x14ac:dyDescent="0.15">
      <c r="A32"/>
      <c r="B32" s="203" t="s">
        <v>248</v>
      </c>
      <c r="C32" s="258"/>
    </row>
    <row r="33" spans="1:3" ht="15.75" customHeight="1" x14ac:dyDescent="0.15">
      <c r="A33"/>
      <c r="B33" s="20" t="s">
        <v>249</v>
      </c>
      <c r="C33" s="259" t="s">
        <v>262</v>
      </c>
    </row>
    <row r="34" spans="1:3" ht="15.75" customHeight="1" x14ac:dyDescent="0.15">
      <c r="A34"/>
      <c r="B34" s="19" t="s">
        <v>251</v>
      </c>
      <c r="C34" s="26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203" t="s">
        <v>252</v>
      </c>
      <c r="C35" s="258"/>
    </row>
    <row r="36" spans="1:3" ht="15.75" customHeight="1" x14ac:dyDescent="0.15">
      <c r="A36"/>
      <c r="B36" s="20" t="s">
        <v>253</v>
      </c>
      <c r="C36" s="259" t="s">
        <v>263</v>
      </c>
    </row>
    <row r="37" spans="1:3" ht="15.75" customHeight="1" x14ac:dyDescent="0.15">
      <c r="A37"/>
      <c r="B37" s="20" t="s">
        <v>254</v>
      </c>
      <c r="C37" s="259" t="s">
        <v>263</v>
      </c>
    </row>
    <row r="38" spans="1:3" ht="15.75" customHeight="1" x14ac:dyDescent="0.15">
      <c r="A38"/>
      <c r="B38" s="203" t="s">
        <v>255</v>
      </c>
      <c r="C38" s="258"/>
    </row>
    <row r="39" spans="1:3" ht="15.75" customHeight="1" x14ac:dyDescent="0.15">
      <c r="A39"/>
      <c r="B39" s="19" t="s">
        <v>256</v>
      </c>
      <c r="C39" s="259" t="s">
        <v>263</v>
      </c>
    </row>
    <row r="40" spans="1:3" ht="15.75" customHeight="1" x14ac:dyDescent="0.15">
      <c r="A40"/>
      <c r="B40" s="1" t="s">
        <v>264</v>
      </c>
      <c r="C40" s="259" t="s">
        <v>250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257</v>
      </c>
      <c r="C42"/>
    </row>
    <row r="43" spans="1:3" ht="70" x14ac:dyDescent="0.15">
      <c r="A43"/>
      <c r="B43" s="261" t="s">
        <v>258</v>
      </c>
      <c r="C43" s="262" t="s">
        <v>259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20" priority="5">
      <formula>LEN(TRIM(C11))=0</formula>
    </cfRule>
  </conditionalFormatting>
  <conditionalFormatting sqref="D12">
    <cfRule type="containsBlanks" dxfId="19" priority="3">
      <formula>LEN(TRIM(D12))=0</formula>
    </cfRule>
  </conditionalFormatting>
  <conditionalFormatting sqref="D17">
    <cfRule type="containsBlanks" dxfId="18" priority="2">
      <formula>LEN(TRIM(D17))=0</formula>
    </cfRule>
  </conditionalFormatting>
  <conditionalFormatting sqref="E28">
    <cfRule type="cellIs" dxfId="17" priority="41" operator="greaterThan">
      <formula>#REF!</formula>
    </cfRule>
  </conditionalFormatting>
  <conditionalFormatting sqref="G20">
    <cfRule type="containsBlanks" dxfId="16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" zoomScaleNormal="100" workbookViewId="0">
      <pane xSplit="2" topLeftCell="C1" activePane="topRight" state="frozen"/>
      <selection activeCell="A4" sqref="A4"/>
      <selection pane="topRight" activeCell="E21" sqref="E21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212</v>
      </c>
      <c r="F2" s="120" t="s">
        <v>215</v>
      </c>
      <c r="G2" s="151" t="s">
        <v>216</v>
      </c>
      <c r="H2" s="150" t="s">
        <v>217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213</v>
      </c>
      <c r="F3" s="85">
        <f>L21</f>
        <v>13592.333333333334</v>
      </c>
      <c r="G3" s="85">
        <f>C21</f>
        <v>179667.33333333334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214</v>
      </c>
      <c r="F4" s="93">
        <f>(G3/F3)^(1/H3)-1</f>
        <v>0.29454606979848341</v>
      </c>
      <c r="J4" s="87"/>
    </row>
    <row r="5" spans="1:14" ht="15.75" customHeight="1" x14ac:dyDescent="0.15">
      <c r="A5" s="16"/>
      <c r="B5" s="116" t="s">
        <v>140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3011012</v>
      </c>
      <c r="D6" s="209">
        <f>IF(Inputs!D19="","",Inputs!D19)</f>
        <v>3239167</v>
      </c>
      <c r="E6" s="209">
        <f>IF(Inputs!E19="","",Inputs!E19)</f>
        <v>2614349</v>
      </c>
      <c r="F6" s="209">
        <f>IF(Inputs!F19="","",Inputs!F19)</f>
        <v>1933836</v>
      </c>
      <c r="G6" s="209">
        <f>IF(Inputs!G19="","",Inputs!G19)</f>
        <v>2516810</v>
      </c>
      <c r="H6" s="209">
        <f>IF(Inputs!H19="","",Inputs!H19)</f>
        <v>2374934</v>
      </c>
      <c r="I6" s="209">
        <f>IF(Inputs!I19="","",Inputs!I19)</f>
        <v>2015890</v>
      </c>
      <c r="J6" s="209">
        <f>IF(Inputs!J19="","",Inputs!J19)</f>
        <v>1616903</v>
      </c>
      <c r="K6" s="209">
        <f>IF(Inputs!K19="","",Inputs!K19)</f>
        <v>1725428</v>
      </c>
      <c r="L6" s="209">
        <f>IF(Inputs!L19="","",Inputs!L19)</f>
        <v>2282962</v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108</v>
      </c>
      <c r="C8" s="208">
        <f>IF(Inputs!C20="","",Inputs!C20)</f>
        <v>2597400</v>
      </c>
      <c r="D8" s="208">
        <f>IF(Inputs!D20="","",Inputs!D20)</f>
        <v>2804756</v>
      </c>
      <c r="E8" s="208">
        <f>IF(Inputs!E20="","",Inputs!E20)</f>
        <v>2298168</v>
      </c>
      <c r="F8" s="208">
        <f>IF(Inputs!F20="","",Inputs!F20)</f>
        <v>1741508</v>
      </c>
      <c r="G8" s="208">
        <f>IF(Inputs!G20="","",Inputs!G20)</f>
        <v>2229308</v>
      </c>
      <c r="H8" s="208">
        <f>IF(Inputs!H20="","",Inputs!H20)</f>
        <v>2058853</v>
      </c>
      <c r="I8" s="208">
        <f>IF(Inputs!I20="","",Inputs!I20)</f>
        <v>1780340</v>
      </c>
      <c r="J8" s="208">
        <f>IF(Inputs!J20="","",Inputs!J20)</f>
        <v>1423553</v>
      </c>
      <c r="K8" s="208">
        <f>IF(Inputs!K20="","",Inputs!K20)</f>
        <v>1500674</v>
      </c>
      <c r="L8" s="208">
        <f>IF(Inputs!L20="","",Inputs!L20)</f>
        <v>1963128</v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104</v>
      </c>
      <c r="C9" s="154">
        <f t="shared" ref="C9:M9" si="2">IF(C6="","",(C6-C8))</f>
        <v>413612</v>
      </c>
      <c r="D9" s="154">
        <f t="shared" si="2"/>
        <v>434411</v>
      </c>
      <c r="E9" s="154">
        <f t="shared" si="2"/>
        <v>316181</v>
      </c>
      <c r="F9" s="154">
        <f t="shared" si="2"/>
        <v>192328</v>
      </c>
      <c r="G9" s="154">
        <f t="shared" si="2"/>
        <v>287502</v>
      </c>
      <c r="H9" s="154">
        <f t="shared" si="2"/>
        <v>316081</v>
      </c>
      <c r="I9" s="154">
        <f t="shared" si="2"/>
        <v>235550</v>
      </c>
      <c r="J9" s="154">
        <f t="shared" si="2"/>
        <v>193350</v>
      </c>
      <c r="K9" s="154">
        <f t="shared" si="2"/>
        <v>224754</v>
      </c>
      <c r="L9" s="154">
        <f t="shared" si="2"/>
        <v>319834</v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106</v>
      </c>
      <c r="C10" s="208">
        <f>IF(Inputs!C21="","",Inputs!C21)</f>
        <v>125283</v>
      </c>
      <c r="D10" s="208">
        <f>IF(Inputs!D21="","",Inputs!D21)</f>
        <v>118875</v>
      </c>
      <c r="E10" s="208">
        <f>IF(Inputs!E21="","",Inputs!E21)</f>
        <v>122996</v>
      </c>
      <c r="F10" s="208">
        <f>IF(Inputs!F21="","",Inputs!F21)</f>
        <v>126791</v>
      </c>
      <c r="G10" s="208">
        <f>IF(Inputs!G21="","",Inputs!G21)</f>
        <v>135865</v>
      </c>
      <c r="H10" s="208">
        <f>IF(Inputs!H21="","",Inputs!H21)</f>
        <v>137231</v>
      </c>
      <c r="I10" s="208">
        <f>IF(Inputs!I21="","",Inputs!I21)</f>
        <v>143632</v>
      </c>
      <c r="J10" s="208">
        <f>IF(Inputs!J21="","",Inputs!J21)</f>
        <v>139934</v>
      </c>
      <c r="K10" s="208">
        <f>IF(Inputs!K21="","",Inputs!K21)</f>
        <v>142620</v>
      </c>
      <c r="L10" s="208">
        <f>IF(Inputs!L21="","",Inputs!L21)</f>
        <v>147802</v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>
        <f>IF(OR(C6="",C12=""),"",C12/C6)</f>
        <v>8.2182336038514631E-2</v>
      </c>
      <c r="D11" s="155">
        <f t="shared" ref="D11:M11" si="3">IF(OR(D6="",D12=""),"",D12/D6)</f>
        <v>7.3486794598734792E-2</v>
      </c>
      <c r="E11" s="155">
        <f t="shared" si="3"/>
        <v>7.8315098710998413E-2</v>
      </c>
      <c r="F11" s="155">
        <f t="shared" si="3"/>
        <v>0.1026514140806149</v>
      </c>
      <c r="G11" s="155">
        <f t="shared" si="3"/>
        <v>8.41728219452402E-2</v>
      </c>
      <c r="H11" s="155">
        <f t="shared" si="3"/>
        <v>8.5204473050619511E-2</v>
      </c>
      <c r="I11" s="155">
        <f t="shared" si="3"/>
        <v>0.10885117739559202</v>
      </c>
      <c r="J11" s="155">
        <f t="shared" si="3"/>
        <v>0.12966207620370548</v>
      </c>
      <c r="K11" s="155">
        <f t="shared" si="3"/>
        <v>0.10308051103842061</v>
      </c>
      <c r="L11" s="155">
        <f t="shared" si="3"/>
        <v>7.6208452002267224E-2</v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107</v>
      </c>
      <c r="C12" s="208">
        <f>IF(Inputs!C22="","",Inputs!C22)</f>
        <v>247452</v>
      </c>
      <c r="D12" s="208">
        <f>IF(Inputs!D22="","",Inputs!D22)</f>
        <v>238036</v>
      </c>
      <c r="E12" s="208">
        <f>IF(Inputs!E22="","",Inputs!E22)</f>
        <v>204743</v>
      </c>
      <c r="F12" s="208">
        <f>IF(Inputs!F22="","",Inputs!F22)</f>
        <v>198511</v>
      </c>
      <c r="G12" s="208">
        <f>IF(Inputs!G22="","",Inputs!G22)</f>
        <v>211847</v>
      </c>
      <c r="H12" s="208">
        <f>IF(Inputs!H22="","",Inputs!H22)</f>
        <v>202355</v>
      </c>
      <c r="I12" s="208">
        <f>IF(Inputs!I22="","",Inputs!I22)</f>
        <v>219432</v>
      </c>
      <c r="J12" s="208">
        <f>IF(Inputs!J22="","",Inputs!J22)</f>
        <v>209651</v>
      </c>
      <c r="K12" s="208">
        <f>IF(Inputs!K22="","",Inputs!K22)</f>
        <v>177858</v>
      </c>
      <c r="L12" s="208">
        <f>IF(Inputs!L22="","",Inputs!L22)</f>
        <v>173981</v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105</v>
      </c>
      <c r="C13" s="154">
        <f>IF(C6="","",(C9-C10+MAX(C12,0)))</f>
        <v>535781</v>
      </c>
      <c r="D13" s="154">
        <f t="shared" ref="D13:M13" si="4">IF(D6="","",(D9-D10+MAX(D12,0)))</f>
        <v>553572</v>
      </c>
      <c r="E13" s="154">
        <f t="shared" si="4"/>
        <v>397928</v>
      </c>
      <c r="F13" s="154">
        <f t="shared" si="4"/>
        <v>264048</v>
      </c>
      <c r="G13" s="154">
        <f t="shared" si="4"/>
        <v>363484</v>
      </c>
      <c r="H13" s="154">
        <f t="shared" si="4"/>
        <v>381205</v>
      </c>
      <c r="I13" s="154">
        <f t="shared" si="4"/>
        <v>311350</v>
      </c>
      <c r="J13" s="154">
        <f t="shared" si="4"/>
        <v>263067</v>
      </c>
      <c r="K13" s="154">
        <f t="shared" si="4"/>
        <v>259992</v>
      </c>
      <c r="L13" s="154">
        <f t="shared" si="4"/>
        <v>346013</v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109</v>
      </c>
      <c r="C14" s="208">
        <f>IF(Inputs!C23="","",Inputs!C23)</f>
        <v>21957</v>
      </c>
      <c r="D14" s="208">
        <f>IF(Inputs!D23="","",Inputs!D23)</f>
        <v>20016</v>
      </c>
      <c r="E14" s="208">
        <f>IF(Inputs!E23="","",Inputs!E23)</f>
        <v>16729</v>
      </c>
      <c r="F14" s="208">
        <f>IF(Inputs!F23="","",Inputs!F23)</f>
        <v>15746</v>
      </c>
      <c r="G14" s="208">
        <f>IF(Inputs!G23="","",Inputs!G23)</f>
        <v>15666</v>
      </c>
      <c r="H14" s="208">
        <f>IF(Inputs!H23="","",Inputs!H23)</f>
        <v>12826</v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110</v>
      </c>
      <c r="C15" s="208">
        <f>IF(Inputs!C24="","",Inputs!C24)</f>
        <v>282519</v>
      </c>
      <c r="D15" s="208">
        <f>IF(Inputs!D24="","",Inputs!D24)</f>
        <v>243752</v>
      </c>
      <c r="E15" s="208">
        <f>IF(Inputs!E24="","",Inputs!E24)</f>
        <v>251178</v>
      </c>
      <c r="F15" s="208">
        <f>IF(Inputs!F24="","",Inputs!F24)</f>
        <v>246493</v>
      </c>
      <c r="G15" s="208">
        <f>IF(Inputs!G24="","",Inputs!G24)</f>
        <v>296776</v>
      </c>
      <c r="H15" s="208">
        <f>IF(Inputs!H24="","",Inputs!H24)</f>
        <v>256106</v>
      </c>
      <c r="I15" s="208">
        <f>IF(Inputs!I24="","",Inputs!I24)</f>
        <v>216227</v>
      </c>
      <c r="J15" s="208">
        <f>IF(Inputs!J24="","",Inputs!J24)</f>
        <v>172386</v>
      </c>
      <c r="K15" s="208">
        <f>IF(Inputs!K24="","",Inputs!K24)</f>
        <v>202238</v>
      </c>
      <c r="L15" s="208">
        <f>IF(Inputs!L24="","",Inputs!L24)</f>
        <v>291729</v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112</v>
      </c>
      <c r="C16" s="208">
        <f>IF(Inputs!C25="","",Inputs!C25)</f>
        <v>-13105</v>
      </c>
      <c r="D16" s="208">
        <f>IF(Inputs!D25="","",Inputs!D25)</f>
        <v>46237</v>
      </c>
      <c r="E16" s="208">
        <f>IF(Inputs!E25="","",Inputs!E25)</f>
        <v>27617</v>
      </c>
      <c r="F16" s="208">
        <f>IF(Inputs!F25="","",Inputs!F25)</f>
        <v>-71716</v>
      </c>
      <c r="G16" s="208">
        <f>IF(Inputs!G25="","",Inputs!G25)</f>
        <v>-28895</v>
      </c>
      <c r="H16" s="208">
        <f>IF(Inputs!H25="","",Inputs!H25)</f>
        <v>-2436</v>
      </c>
      <c r="I16" s="208">
        <f>IF(Inputs!I25="","",Inputs!I25)</f>
        <v>-64518</v>
      </c>
      <c r="J16" s="208">
        <f>IF(Inputs!J25="","",Inputs!J25)</f>
        <v>-5969</v>
      </c>
      <c r="K16" s="208">
        <f>IF(Inputs!K25="","",Inputs!K25)</f>
        <v>-4437</v>
      </c>
      <c r="L16" s="208">
        <f>IF(Inputs!L25="","",Inputs!L25)</f>
        <v>-34533</v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127</v>
      </c>
      <c r="C17" s="208">
        <f>IF(Inputs!C26="","",Inputs!C26)</f>
        <v>24063</v>
      </c>
      <c r="D17" s="208">
        <f>IF(Inputs!D26="","",Inputs!D26)</f>
        <v>21554</v>
      </c>
      <c r="E17" s="208">
        <f>IF(Inputs!E26="","",Inputs!E26)</f>
        <v>19739</v>
      </c>
      <c r="F17" s="208">
        <f>IF(Inputs!F26="","",Inputs!F26)</f>
        <v>26528</v>
      </c>
      <c r="G17" s="208">
        <f>IF(Inputs!G26="","",Inputs!G26)</f>
        <v>30409</v>
      </c>
      <c r="H17" s="208">
        <f>IF(Inputs!H26="","",Inputs!H26)</f>
        <v>22718</v>
      </c>
      <c r="I17" s="208">
        <f>IF(Inputs!I26="","",Inputs!I26)</f>
        <v>21648</v>
      </c>
      <c r="J17" s="208">
        <f>IF(Inputs!J26="","",Inputs!J26)</f>
        <v>20652</v>
      </c>
      <c r="K17" s="208">
        <f>IF(Inputs!K26="","",Inputs!K26)</f>
        <v>23826</v>
      </c>
      <c r="L17" s="208">
        <f>IF(Inputs!L26="","",Inputs!L26)</f>
        <v>24877</v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113</v>
      </c>
      <c r="C18" s="208">
        <f>IF(Inputs!C27="","",Inputs!C27)</f>
        <v>20681</v>
      </c>
      <c r="D18" s="208">
        <f>IF(Inputs!D27="","",Inputs!D27)</f>
        <v>20705</v>
      </c>
      <c r="E18" s="208">
        <f>IF(Inputs!E27="","",Inputs!E27)</f>
        <v>22526</v>
      </c>
      <c r="F18" s="208">
        <f>IF(Inputs!F27="","",Inputs!F27)</f>
        <v>14479</v>
      </c>
      <c r="G18" s="208">
        <f>IF(Inputs!G27="","",Inputs!G27)</f>
        <v>21333</v>
      </c>
      <c r="H18" s="208">
        <f>IF(Inputs!H27="","",Inputs!H27)</f>
        <v>20944</v>
      </c>
      <c r="I18" s="208">
        <f>IF(Inputs!I27="","",Inputs!I27)</f>
        <v>13995</v>
      </c>
      <c r="J18" s="208">
        <f>IF(Inputs!J27="","",Inputs!J27)</f>
        <v>21514</v>
      </c>
      <c r="K18" s="208">
        <f>IF(Inputs!K27="","",Inputs!K27)</f>
        <v>6711</v>
      </c>
      <c r="L18" s="208">
        <f>IF(Inputs!L27="","",Inputs!L27)</f>
        <v>11861</v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210</v>
      </c>
      <c r="C19" s="237">
        <f>IF(C6="","",C9-C10-MAX(C17,0)-MAX(C18,0)/(1-Fin_Analysis!$I$84))</f>
        <v>236691.33333333334</v>
      </c>
      <c r="D19" s="237">
        <f>IF(D6="","",D9-D10-MAX(D17,0)-MAX(D18,0)/(1-Fin_Analysis!$I$84))</f>
        <v>266375.33333333331</v>
      </c>
      <c r="E19" s="237">
        <f>IF(E6="","",E9-E10-MAX(E17,0)-MAX(E18,0)/(1-Fin_Analysis!$I$84))</f>
        <v>143411.33333333334</v>
      </c>
      <c r="F19" s="237">
        <f>IF(F6="","",F9-F10-MAX(F17,0)-MAX(F18,0)/(1-Fin_Analysis!$I$84))</f>
        <v>19703.666666666668</v>
      </c>
      <c r="G19" s="237">
        <f>IF(G6="","",G9-G10-MAX(G17,0)-MAX(G18,0)/(1-Fin_Analysis!$I$84))</f>
        <v>92784</v>
      </c>
      <c r="H19" s="237">
        <f>IF(H6="","",H9-H10-MAX(H17,0)-MAX(H18,0)/(1-Fin_Analysis!$I$84))</f>
        <v>128206.66666666667</v>
      </c>
      <c r="I19" s="237">
        <f>IF(I6="","",I9-I10-MAX(I17,0)-MAX(I18,0)/(1-Fin_Analysis!$I$84))</f>
        <v>51610</v>
      </c>
      <c r="J19" s="237">
        <f>IF(J6="","",J9-J10-MAX(J17,0)-MAX(J18,0)/(1-Fin_Analysis!$I$84))</f>
        <v>4078.6666666666679</v>
      </c>
      <c r="K19" s="237">
        <f>IF(K6="","",K9-K10-MAX(K17,0)-MAX(K18,0)/(1-Fin_Analysis!$I$84))</f>
        <v>49360</v>
      </c>
      <c r="L19" s="237">
        <f>IF(L6="","",L9-L10-MAX(L17,0)-MAX(L18,0)/(1-Fin_Analysis!$I$84))</f>
        <v>131340.33333333334</v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211</v>
      </c>
      <c r="C20" s="238">
        <f>IF(D19="","",IF(ABS(C19+D19)=ABS(C19)+ABS(D19),IF(C19&lt;0,-1,1)*(C19-D19)/D19,"Turn"))</f>
        <v>-0.11143674464352295</v>
      </c>
      <c r="D20" s="238">
        <f t="shared" ref="D20:M20" si="5">IF(E19="","",IF(ABS(D19+E19)=ABS(D19)+ABS(E19),IF(D19&lt;0,-1,1)*(D19-E19)/E19,"Turn"))</f>
        <v>0.85742177512702367</v>
      </c>
      <c r="E20" s="238">
        <f t="shared" si="5"/>
        <v>6.2784084180609359</v>
      </c>
      <c r="F20" s="238">
        <f t="shared" si="5"/>
        <v>-0.78763939184916931</v>
      </c>
      <c r="G20" s="238">
        <f t="shared" si="5"/>
        <v>-0.2762934844781863</v>
      </c>
      <c r="H20" s="238">
        <f t="shared" si="5"/>
        <v>1.4841438997610283</v>
      </c>
      <c r="I20" s="238">
        <f t="shared" si="5"/>
        <v>11.653644982020264</v>
      </c>
      <c r="J20" s="238">
        <f t="shared" si="5"/>
        <v>-0.91736898973527814</v>
      </c>
      <c r="K20" s="238">
        <f t="shared" si="5"/>
        <v>-0.62418246743193895</v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114</v>
      </c>
      <c r="C21" s="77">
        <f>IF(C6="","",C13-MAX(C14,0)-MAX(C15,0)-MAX(C16,0)-MAX(C17,0)-MAX(C18,0)/(1-Fin_Analysis!$I$84))</f>
        <v>179667.33333333334</v>
      </c>
      <c r="D21" s="77">
        <f>IF(D6="","",D13-MAX(D14,0)-MAX(D15,0)-MAX(D16,0)-MAX(D17,0)-MAX(D18,0)/(1-Fin_Analysis!$I$84))</f>
        <v>194406.33333333334</v>
      </c>
      <c r="E21" s="77">
        <f>IF(E6="","",E13-MAX(E14,0)-MAX(E15,0)-MAX(E16,0)-MAX(E17,0)-MAX(E18,0)/(1-Fin_Analysis!$I$84))</f>
        <v>52630.333333333328</v>
      </c>
      <c r="F21" s="77">
        <f>IF(F6="","",F13-MAX(F14,0)-MAX(F15,0)-MAX(F16,0)-MAX(F17,0)-MAX(F18,0)/(1-Fin_Analysis!$I$84))</f>
        <v>-44024.333333333328</v>
      </c>
      <c r="G21" s="77">
        <f>IF(G6="","",G13-MAX(G14,0)-MAX(G15,0)-MAX(G16,0)-MAX(G17,0)-MAX(G18,0)/(1-Fin_Analysis!$I$84))</f>
        <v>-7811</v>
      </c>
      <c r="H21" s="77">
        <f>IF(H6="","",H13-MAX(H14,0)-MAX(H15,0)-MAX(H16,0)-MAX(H17,0)-MAX(H18,0)/(1-Fin_Analysis!$I$84))</f>
        <v>61629.666666666672</v>
      </c>
      <c r="I21" s="77">
        <f>IF(I6="","",I13-MAX(I14,0)-MAX(I15,0)-MAX(I16,0)-MAX(I17,0)-MAX(I18,0)/(1-Fin_Analysis!$I$84))</f>
        <v>54815</v>
      </c>
      <c r="J21" s="77">
        <f>IF(J6="","",J13-MAX(J14,0)-MAX(J15,0)-MAX(J16,0)-MAX(J17,0)-MAX(J18,0)/(1-Fin_Analysis!$I$84))</f>
        <v>41343.666666666672</v>
      </c>
      <c r="K21" s="77">
        <f>IF(K6="","",K13-MAX(K14,0)-MAX(K15,0)-MAX(K16,0)-MAX(K17,0)-MAX(K18,0)/(1-Fin_Analysis!$I$84))</f>
        <v>24980</v>
      </c>
      <c r="L21" s="77">
        <f>IF(L6="","",L13-MAX(L14,0)-MAX(L15,0)-MAX(L16,0)-MAX(L17,0)-MAX(L18,0)/(1-Fin_Analysis!$I$84))</f>
        <v>13592.333333333334</v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115</v>
      </c>
      <c r="C22" s="156">
        <f>IF(D21="","",IF(ABS(C21+D21)=ABS(C21)+ABS(D21),IF(C21&lt;0,-1,1)*(C21-D21)/D21,"Turn"))</f>
        <v>-7.5815431253097032E-2</v>
      </c>
      <c r="D22" s="156">
        <f t="shared" ref="D22:M22" si="6">IF(E21="","",IF(ABS(D21+E21)=ABS(D21)+ABS(E21),IF(D21&lt;0,-1,1)*(D21-E21)/E21,"Turn"))</f>
        <v>2.6938077534501654</v>
      </c>
      <c r="E22" s="156" t="str">
        <f t="shared" si="6"/>
        <v>Turn</v>
      </c>
      <c r="F22" s="156">
        <f t="shared" si="6"/>
        <v>-4.6361968164554259</v>
      </c>
      <c r="G22" s="156" t="str">
        <f t="shared" si="6"/>
        <v>Turn</v>
      </c>
      <c r="H22" s="156">
        <f t="shared" si="6"/>
        <v>0.12432120161756219</v>
      </c>
      <c r="I22" s="156">
        <f t="shared" si="6"/>
        <v>0.32583789536486829</v>
      </c>
      <c r="J22" s="156">
        <f t="shared" si="6"/>
        <v>0.65507072324526305</v>
      </c>
      <c r="K22" s="156">
        <f t="shared" si="6"/>
        <v>0.83780072099467828</v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116</v>
      </c>
      <c r="C23" s="157">
        <f t="shared" ref="C23:M23" si="7">IF(C6="","",C24/C6)</f>
        <v>4.4752561597230435E-2</v>
      </c>
      <c r="D23" s="157">
        <f t="shared" si="7"/>
        <v>4.5013038846098398E-2</v>
      </c>
      <c r="E23" s="157">
        <f t="shared" si="7"/>
        <v>1.5098500620995896E-2</v>
      </c>
      <c r="F23" s="157">
        <f t="shared" si="7"/>
        <v>-1.7073965941269063E-2</v>
      </c>
      <c r="G23" s="157">
        <f t="shared" si="7"/>
        <v>-2.32764888887123E-3</v>
      </c>
      <c r="H23" s="157">
        <f t="shared" si="7"/>
        <v>1.9462540853766884E-2</v>
      </c>
      <c r="I23" s="157">
        <f t="shared" si="7"/>
        <v>2.0393597864962872E-2</v>
      </c>
      <c r="J23" s="157">
        <f t="shared" si="7"/>
        <v>1.9177248109503171E-2</v>
      </c>
      <c r="K23" s="157">
        <f t="shared" si="7"/>
        <v>1.0858175478779758E-2</v>
      </c>
      <c r="L23" s="157">
        <f t="shared" si="7"/>
        <v>4.465361228088772E-3</v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117</v>
      </c>
      <c r="C24" s="158">
        <f>IF(C6="","",C21*(1-Fin_Analysis!$I$84))</f>
        <v>134750.5</v>
      </c>
      <c r="D24" s="77">
        <f>IF(D6="","",D21*(1-Fin_Analysis!$I$84))</f>
        <v>145804.75</v>
      </c>
      <c r="E24" s="77">
        <f>IF(E6="","",E21*(1-Fin_Analysis!$I$84))</f>
        <v>39472.75</v>
      </c>
      <c r="F24" s="77">
        <f>IF(F6="","",F21*(1-Fin_Analysis!$I$84))</f>
        <v>-33018.25</v>
      </c>
      <c r="G24" s="77">
        <f>IF(G6="","",G21*(1-Fin_Analysis!$I$84))</f>
        <v>-5858.25</v>
      </c>
      <c r="H24" s="77">
        <f>IF(H6="","",H21*(1-Fin_Analysis!$I$84))</f>
        <v>46222.25</v>
      </c>
      <c r="I24" s="77">
        <f>IF(I6="","",I21*(1-Fin_Analysis!$I$84))</f>
        <v>41111.25</v>
      </c>
      <c r="J24" s="77">
        <f>IF(J6="","",J21*(1-Fin_Analysis!$I$84))</f>
        <v>31007.750000000004</v>
      </c>
      <c r="K24" s="77">
        <f>IF(K6="","",K21*(1-Fin_Analysis!$I$84))</f>
        <v>18735</v>
      </c>
      <c r="L24" s="77">
        <f>IF(L6="","",L21*(1-Fin_Analysis!$I$84))</f>
        <v>10194.25</v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134</v>
      </c>
      <c r="C25" s="159">
        <f>IF(D24="","",IF(ABS(C24+D24)=ABS(C24)+ABS(D24),IF(C24&lt;0,-1,1)*(C24-D24)/D24,"Turn"))</f>
        <v>-7.5815431253097032E-2</v>
      </c>
      <c r="D25" s="159">
        <f t="shared" ref="D25:M25" si="8">IF(E24="","",IF(ABS(D24+E24)=ABS(D24)+ABS(E24),IF(D24&lt;0,-1,1)*(D24-E24)/E24,"Turn"))</f>
        <v>2.693807753450165</v>
      </c>
      <c r="E25" s="159" t="str">
        <f t="shared" si="8"/>
        <v>Turn</v>
      </c>
      <c r="F25" s="159">
        <f t="shared" si="8"/>
        <v>-4.6361968164554259</v>
      </c>
      <c r="G25" s="159" t="str">
        <f t="shared" si="8"/>
        <v>Turn</v>
      </c>
      <c r="H25" s="159">
        <f t="shared" si="8"/>
        <v>0.1243212016175621</v>
      </c>
      <c r="I25" s="159">
        <f t="shared" si="8"/>
        <v>0.32583789536486829</v>
      </c>
      <c r="J25" s="159">
        <f t="shared" si="8"/>
        <v>0.65507072324526305</v>
      </c>
      <c r="K25" s="159">
        <f t="shared" si="8"/>
        <v>0.83780072099467839</v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141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2768297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672371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120</v>
      </c>
      <c r="C29" s="65">
        <f>Fin_Analysis!C13</f>
        <v>142879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155</v>
      </c>
      <c r="C30" s="65">
        <f>Fin_Analysis!C18</f>
        <v>182674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716641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119</v>
      </c>
      <c r="C32" s="65">
        <f>Fin_Analysis!I48</f>
        <v>373503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52418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81126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133544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144</v>
      </c>
      <c r="C36" s="65">
        <f>Fin_Analysis!D3</f>
        <v>1678153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145</v>
      </c>
      <c r="C37" s="65">
        <f>Fin_Analysis!D4</f>
        <v>188249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143</v>
      </c>
      <c r="C38" s="65">
        <f>Fin_Analysis!C63</f>
        <v>541381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147</v>
      </c>
      <c r="C39" s="65">
        <f>Fin_Analysis!C68</f>
        <v>2226916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165</v>
      </c>
      <c r="C40" s="160">
        <f t="shared" ref="C40" si="31">IF(C6="","",C21/C39)</f>
        <v>8.0679887940691669E-2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0.86263355974668987</v>
      </c>
      <c r="D42" s="161">
        <f t="shared" si="33"/>
        <v>0.86588805084764076</v>
      </c>
      <c r="E42" s="161">
        <f t="shared" si="33"/>
        <v>0.87905937577576676</v>
      </c>
      <c r="F42" s="161">
        <f t="shared" si="33"/>
        <v>0.90054585807690002</v>
      </c>
      <c r="G42" s="161">
        <f t="shared" si="33"/>
        <v>0.88576730067029297</v>
      </c>
      <c r="H42" s="161">
        <f t="shared" si="33"/>
        <v>0.86690956464474378</v>
      </c>
      <c r="I42" s="161">
        <f t="shared" si="33"/>
        <v>0.88315334666078005</v>
      </c>
      <c r="J42" s="161">
        <f t="shared" si="33"/>
        <v>0.88041954279261037</v>
      </c>
      <c r="K42" s="161">
        <f t="shared" si="33"/>
        <v>0.86974014563343127</v>
      </c>
      <c r="L42" s="161">
        <f t="shared" si="33"/>
        <v>0.85990393182190505</v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244</v>
      </c>
      <c r="C43" s="157">
        <f>IF(C6="","",C10/C6)</f>
        <v>4.1608269910581558E-2</v>
      </c>
      <c r="D43" s="157">
        <f t="shared" ref="D43:M43" si="34">IF(D6="","",D10/D6)</f>
        <v>3.669925014671982E-2</v>
      </c>
      <c r="E43" s="157">
        <f t="shared" si="34"/>
        <v>4.7046511387729792E-2</v>
      </c>
      <c r="F43" s="157">
        <f t="shared" si="34"/>
        <v>6.5564504952850183E-2</v>
      </c>
      <c r="G43" s="157">
        <f t="shared" si="34"/>
        <v>5.3983018185719225E-2</v>
      </c>
      <c r="H43" s="157">
        <f t="shared" si="34"/>
        <v>5.7783079445576174E-2</v>
      </c>
      <c r="I43" s="157">
        <f t="shared" si="34"/>
        <v>7.1249919390442937E-2</v>
      </c>
      <c r="J43" s="157">
        <f t="shared" si="34"/>
        <v>8.6544461850834586E-2</v>
      </c>
      <c r="K43" s="157">
        <f t="shared" si="34"/>
        <v>8.265775216352117E-2</v>
      </c>
      <c r="L43" s="157">
        <f t="shared" si="34"/>
        <v>6.4741331655980255E-2</v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243</v>
      </c>
      <c r="C44" s="157">
        <f>IF(C6="","",(MAX(C14,0)+MAX(C15,0)-MAX(C12,0))/C6)</f>
        <v>1.8938483141216308E-2</v>
      </c>
      <c r="D44" s="157">
        <f t="shared" ref="D44:M44" si="35">IF(D6="","",(MAX(D14,0)+MAX(D15,0)-MAX(D12,0))/D6)</f>
        <v>7.9440177057867045E-3</v>
      </c>
      <c r="E44" s="157">
        <f t="shared" si="35"/>
        <v>2.4160508027046123E-2</v>
      </c>
      <c r="F44" s="157">
        <f t="shared" si="35"/>
        <v>3.2954190531151555E-2</v>
      </c>
      <c r="G44" s="157">
        <f t="shared" si="35"/>
        <v>3.9969246784620216E-2</v>
      </c>
      <c r="H44" s="157">
        <f t="shared" si="35"/>
        <v>2.8033200080507501E-2</v>
      </c>
      <c r="I44" s="157">
        <f t="shared" si="35"/>
        <v>-1.5898684948087445E-3</v>
      </c>
      <c r="J44" s="157">
        <f t="shared" si="35"/>
        <v>-2.3047146303767141E-2</v>
      </c>
      <c r="K44" s="157">
        <f t="shared" si="35"/>
        <v>1.4129827497872992E-2</v>
      </c>
      <c r="L44" s="157">
        <f t="shared" si="35"/>
        <v>5.1576854980503399E-2</v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111</v>
      </c>
      <c r="C45" s="157">
        <f t="shared" ref="C45:M45" si="36">IF(C6="","",MAX(C16,0)/C6)</f>
        <v>0</v>
      </c>
      <c r="D45" s="157">
        <f t="shared" si="36"/>
        <v>1.4274348929832885E-2</v>
      </c>
      <c r="E45" s="157">
        <f t="shared" si="36"/>
        <v>1.0563624060903882E-2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>
        <f t="shared" si="36"/>
        <v>0</v>
      </c>
      <c r="J45" s="157">
        <f t="shared" si="36"/>
        <v>0</v>
      </c>
      <c r="K45" s="157">
        <f t="shared" si="36"/>
        <v>0</v>
      </c>
      <c r="L45" s="157">
        <f t="shared" si="36"/>
        <v>0</v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125</v>
      </c>
      <c r="C46" s="157">
        <f>IF(C6="","",MAX(C17,0)/C6)</f>
        <v>7.9916652607163307E-3</v>
      </c>
      <c r="D46" s="157">
        <f t="shared" ref="D46:M46" si="37">IF(D6="","",MAX(D17,0)/D6)</f>
        <v>6.6541799172441553E-3</v>
      </c>
      <c r="E46" s="157">
        <f t="shared" si="37"/>
        <v>7.5502543845523303E-3</v>
      </c>
      <c r="F46" s="157">
        <f t="shared" si="37"/>
        <v>1.3717812679048275E-2</v>
      </c>
      <c r="G46" s="157">
        <f t="shared" si="37"/>
        <v>1.2082358223306488E-2</v>
      </c>
      <c r="H46" s="157">
        <f t="shared" si="37"/>
        <v>9.5657395110769396E-3</v>
      </c>
      <c r="I46" s="157">
        <f t="shared" si="37"/>
        <v>1.0738681178040468E-2</v>
      </c>
      <c r="J46" s="157">
        <f t="shared" si="37"/>
        <v>1.2772565824913431E-2</v>
      </c>
      <c r="K46" s="157">
        <f t="shared" si="37"/>
        <v>1.3808747742589085E-2</v>
      </c>
      <c r="L46" s="157">
        <f t="shared" si="37"/>
        <v>1.0896808619679172E-2</v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135</v>
      </c>
      <c r="C47" s="157">
        <f>IF(C6="","",MAX(C18,0)/(1-Fin_Analysis!$I$84)/C6)</f>
        <v>9.1579398111554088E-3</v>
      </c>
      <c r="D47" s="157">
        <f>IF(D6="","",MAX(D18,0)/(1-Fin_Analysis!$I$84)/D6)</f>
        <v>8.522767324644475E-3</v>
      </c>
      <c r="E47" s="157">
        <f>IF(E6="","",MAX(E18,0)/(1-Fin_Analysis!$I$84)/E6)</f>
        <v>1.1488392202673272E-2</v>
      </c>
      <c r="F47" s="157">
        <f>IF(F6="","",MAX(F18,0)/(1-Fin_Analysis!$I$84)/F6)</f>
        <v>9.9829216817420574E-3</v>
      </c>
      <c r="G47" s="157">
        <f>IF(G6="","",MAX(G18,0)/(1-Fin_Analysis!$I$84)/G6)</f>
        <v>1.1301607987889432E-2</v>
      </c>
      <c r="H47" s="157">
        <f>IF(H6="","",MAX(H18,0)/(1-Fin_Analysis!$I$84)/H6)</f>
        <v>1.1758361846406398E-2</v>
      </c>
      <c r="I47" s="157">
        <f>IF(I6="","",MAX(I18,0)/(1-Fin_Analysis!$I$84)/I6)</f>
        <v>9.2564574455947495E-3</v>
      </c>
      <c r="J47" s="157">
        <f>IF(J6="","",MAX(J18,0)/(1-Fin_Analysis!$I$84)/J6)</f>
        <v>1.774091168940458E-2</v>
      </c>
      <c r="K47" s="157">
        <f>IF(K6="","",MAX(K18,0)/(1-Fin_Analysis!$I$84)/K6)</f>
        <v>5.1859596575458376E-3</v>
      </c>
      <c r="L47" s="157">
        <f>IF(L6="","",MAX(L18,0)/(1-Fin_Analysis!$I$84)/L6)</f>
        <v>6.9272579511470917E-3</v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128</v>
      </c>
      <c r="C48" s="157">
        <f t="shared" ref="C48:M48" si="38">IF(C6="","",C21/C6)</f>
        <v>5.9670082129640582E-2</v>
      </c>
      <c r="D48" s="157">
        <f t="shared" si="38"/>
        <v>6.00173851281312E-2</v>
      </c>
      <c r="E48" s="157">
        <f t="shared" si="38"/>
        <v>2.0131334161327858E-2</v>
      </c>
      <c r="F48" s="157">
        <f t="shared" si="38"/>
        <v>-2.2765287921692082E-2</v>
      </c>
      <c r="G48" s="157">
        <f t="shared" si="38"/>
        <v>-3.1035318518283063E-3</v>
      </c>
      <c r="H48" s="157">
        <f t="shared" si="38"/>
        <v>2.5950054471689181E-2</v>
      </c>
      <c r="I48" s="157">
        <f t="shared" si="38"/>
        <v>2.7191463819950492E-2</v>
      </c>
      <c r="J48" s="157">
        <f t="shared" si="38"/>
        <v>2.5569664146004225E-2</v>
      </c>
      <c r="K48" s="157">
        <f t="shared" si="38"/>
        <v>1.4477567305039678E-2</v>
      </c>
      <c r="L48" s="157">
        <f t="shared" si="38"/>
        <v>5.9538149707850305E-3</v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156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153</v>
      </c>
      <c r="C50" s="161">
        <f>IF(C29="","",C29/C6)</f>
        <v>4.7452152299625509E-2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154</v>
      </c>
      <c r="C51" s="157">
        <f>IF(C30="","",C30/C6)</f>
        <v>6.0668638982508204E-2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129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0.39379589689979072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124</v>
      </c>
      <c r="C54" s="162">
        <f>IF(OR(C21="",C35=""),"",IF(C35&lt;=0,"-",C21/C35))</f>
        <v>1.3453793007048864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126</v>
      </c>
      <c r="C55" s="157">
        <f>IF(C21="","",IF(MAX(C17,0)&lt;=0,"-",C17/C21))</f>
        <v>0.13393085739941596</v>
      </c>
      <c r="D55" s="157">
        <f t="shared" ref="D55:M55" si="43">IF(D21="","",IF(MAX(D17,0)&lt;=0,"-",D17/D21))</f>
        <v>0.11087087354835833</v>
      </c>
      <c r="E55" s="157">
        <f t="shared" si="43"/>
        <v>0.37504987618040297</v>
      </c>
      <c r="F55" s="157">
        <f t="shared" si="43"/>
        <v>-0.6025758482051593</v>
      </c>
      <c r="G55" s="157">
        <f t="shared" si="43"/>
        <v>-3.8930994750992189</v>
      </c>
      <c r="H55" s="157">
        <f t="shared" si="43"/>
        <v>0.36862117270362216</v>
      </c>
      <c r="I55" s="157">
        <f t="shared" si="43"/>
        <v>0.39492839551217734</v>
      </c>
      <c r="J55" s="157">
        <f t="shared" si="43"/>
        <v>0.49952028122001751</v>
      </c>
      <c r="K55" s="157">
        <f t="shared" si="43"/>
        <v>0.9538030424339472</v>
      </c>
      <c r="L55" s="157">
        <f t="shared" si="43"/>
        <v>1.8302229197832109</v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0.93822569459464367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2" priority="4">
      <formula>LEN(TRIM(C6))=0</formula>
    </cfRule>
  </conditionalFormatting>
  <conditionalFormatting sqref="C25:M25">
    <cfRule type="containsBlanks" dxfId="11" priority="3">
      <formula>LEN(TRIM(C25))=0</formula>
    </cfRule>
  </conditionalFormatting>
  <conditionalFormatting sqref="D24:M24">
    <cfRule type="containsBlanks" dxfId="10" priority="2">
      <formula>LEN(TRIM(D24))=0</formula>
    </cfRule>
  </conditionalFormatting>
  <conditionalFormatting sqref="F4">
    <cfRule type="containsBlanks" dxfId="9" priority="1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1" zoomScaleNormal="100" workbookViewId="0">
      <selection activeCell="I100" sqref="I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1489904</v>
      </c>
      <c r="K3" s="24"/>
    </row>
    <row r="4" spans="1:11" ht="15" customHeight="1" x14ac:dyDescent="0.15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-701256.52703110361</v>
      </c>
      <c r="E6" s="56">
        <f>1-D6/D3</f>
        <v>1.4178740121020572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207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238880</v>
      </c>
      <c r="D11" s="207">
        <f>Inputs!D40</f>
        <v>0.9</v>
      </c>
      <c r="E11" s="88">
        <f t="shared" ref="E11:E22" si="0">C11*D11</f>
        <v>214992</v>
      </c>
      <c r="F11" s="113"/>
      <c r="G11" s="87"/>
      <c r="H11" s="3" t="s">
        <v>39</v>
      </c>
      <c r="I11" s="40">
        <f>Inputs!C66</f>
        <v>40594</v>
      </c>
      <c r="J11" s="87"/>
      <c r="K11" s="24"/>
    </row>
    <row r="12" spans="1:11" ht="14" x14ac:dyDescent="0.15">
      <c r="B12" s="1" t="s">
        <v>142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120</v>
      </c>
      <c r="C13" s="40">
        <f>Inputs!C42</f>
        <v>142879</v>
      </c>
      <c r="D13" s="207">
        <f>Inputs!D42</f>
        <v>0.6</v>
      </c>
      <c r="E13" s="88">
        <f t="shared" si="0"/>
        <v>85727.4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9895</v>
      </c>
      <c r="D14" s="207">
        <f>Inputs!D43</f>
        <v>0.6</v>
      </c>
      <c r="E14" s="88">
        <f t="shared" si="0"/>
        <v>5937</v>
      </c>
      <c r="F14" s="113"/>
      <c r="G14" s="87"/>
      <c r="H14" s="86" t="s">
        <v>43</v>
      </c>
      <c r="I14" s="214">
        <f>Inputs!C69</f>
        <v>11824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52418</v>
      </c>
      <c r="J15" s="87"/>
    </row>
    <row r="16" spans="1:11" ht="14" x14ac:dyDescent="0.15">
      <c r="B16" s="1" t="s">
        <v>166</v>
      </c>
      <c r="C16" s="40">
        <f>Inputs!C45</f>
        <v>11851</v>
      </c>
      <c r="D16" s="207">
        <f>Inputs!D45</f>
        <v>0.6</v>
      </c>
      <c r="E16" s="88">
        <f t="shared" si="0"/>
        <v>7110.5999999999995</v>
      </c>
      <c r="F16" s="113"/>
      <c r="G16" s="30"/>
      <c r="H16" s="3"/>
      <c r="I16" s="40"/>
      <c r="J16" s="87"/>
    </row>
    <row r="17" spans="2:10" ht="14" x14ac:dyDescent="0.15">
      <c r="B17" s="3" t="s">
        <v>121</v>
      </c>
      <c r="C17" s="40">
        <f>Inputs!C46</f>
        <v>24847</v>
      </c>
      <c r="D17" s="207">
        <f>Inputs!D46</f>
        <v>0.1</v>
      </c>
      <c r="E17" s="88">
        <f t="shared" si="0"/>
        <v>2484.7000000000003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182674</v>
      </c>
      <c r="D18" s="207">
        <f>Inputs!D47</f>
        <v>0.5</v>
      </c>
      <c r="E18" s="88">
        <f t="shared" si="0"/>
        <v>91337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123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61345</v>
      </c>
      <c r="D22" s="207">
        <f>Inputs!D51</f>
        <v>0.05</v>
      </c>
      <c r="E22" s="88">
        <f t="shared" si="0"/>
        <v>3067.25</v>
      </c>
      <c r="F22" s="113"/>
      <c r="G22" s="87"/>
      <c r="H22" s="3" t="s">
        <v>45</v>
      </c>
      <c r="I22" s="52">
        <f>I28-SUM(I11:I14)</f>
        <v>664223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4">
        <f>E24/$E$28</f>
        <v>0.74674773371723946</v>
      </c>
      <c r="G24" s="87"/>
    </row>
    <row r="25" spans="2:10" ht="15" customHeight="1" x14ac:dyDescent="0.15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4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15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4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4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3"/>
      <c r="G28" s="87"/>
      <c r="H28" s="78" t="s">
        <v>16</v>
      </c>
      <c r="I28" s="215">
        <f>Inputs!C70</f>
        <v>716641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70126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167</v>
      </c>
      <c r="C33" s="40">
        <f>Inputs!C55</f>
        <v>693</v>
      </c>
      <c r="D33" s="207">
        <f>Inputs!D55</f>
        <v>0.5</v>
      </c>
      <c r="E33" s="88">
        <f t="shared" si="1"/>
        <v>346.5</v>
      </c>
      <c r="F33" s="113"/>
      <c r="G33" s="30">
        <f>IF(F33="Y",0,1)</f>
        <v>1</v>
      </c>
      <c r="H33" s="86" t="s">
        <v>67</v>
      </c>
      <c r="I33" s="214">
        <f>Inputs!C74</f>
        <v>11000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81126</v>
      </c>
      <c r="J34" s="87"/>
    </row>
    <row r="35" spans="2:10" ht="14" x14ac:dyDescent="0.15">
      <c r="B35" s="3" t="s">
        <v>70</v>
      </c>
      <c r="C35" s="40">
        <f>Inputs!C57</f>
        <v>292606</v>
      </c>
      <c r="D35" s="207">
        <f>Inputs!D57</f>
        <v>0.1</v>
      </c>
      <c r="E35" s="88">
        <f t="shared" si="1"/>
        <v>29260.600000000002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201156</v>
      </c>
      <c r="D37" s="207">
        <f>Inputs!D59</f>
        <v>0.1</v>
      </c>
      <c r="E37" s="88">
        <f t="shared" si="1"/>
        <v>20115.600000000002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122</v>
      </c>
      <c r="C38" s="40">
        <f>Inputs!C60</f>
        <v>1413348</v>
      </c>
      <c r="D38" s="207">
        <f>Inputs!D60</f>
        <v>0.1</v>
      </c>
      <c r="E38" s="88">
        <f t="shared" si="1"/>
        <v>141334.80000000002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91529</v>
      </c>
      <c r="D40" s="207">
        <f>Inputs!D62</f>
        <v>0.05</v>
      </c>
      <c r="E40" s="88">
        <f t="shared" si="1"/>
        <v>4576.45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24707</v>
      </c>
      <c r="D41" s="207">
        <f>Inputs!D63</f>
        <v>0.9</v>
      </c>
      <c r="E41" s="88">
        <f t="shared" si="1"/>
        <v>22236.3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71887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292377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16">
        <f>Inputs!C75</f>
        <v>373503</v>
      </c>
      <c r="J48" s="8"/>
    </row>
    <row r="49" spans="2:11" ht="15" customHeight="1" thickTop="1" x14ac:dyDescent="0.15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157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133544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160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4" x14ac:dyDescent="0.15">
      <c r="B62" s="35" t="s">
        <v>146</v>
      </c>
      <c r="C62" s="118">
        <f>C11+C30</f>
        <v>238880</v>
      </c>
      <c r="D62" s="108">
        <f t="shared" si="2"/>
        <v>0.9</v>
      </c>
      <c r="E62" s="119">
        <f>E11+E30</f>
        <v>214992</v>
      </c>
      <c r="F62" s="87"/>
      <c r="G62" s="87"/>
      <c r="I62" s="87"/>
      <c r="K62" s="33"/>
    </row>
    <row r="63" spans="2:11" ht="14" x14ac:dyDescent="0.15">
      <c r="B63" s="19" t="s">
        <v>148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thickBot="1" x14ac:dyDescent="0.2">
      <c r="B64" s="122" t="s">
        <v>158</v>
      </c>
      <c r="C64" s="217"/>
      <c r="D64" s="217"/>
      <c r="E64" s="69">
        <f>D56+D57+D58</f>
        <v>133544</v>
      </c>
      <c r="F64" s="87"/>
      <c r="G64" s="87"/>
      <c r="I64" s="87"/>
      <c r="K64" s="33"/>
    </row>
    <row r="65" spans="1:11" thickTop="1" x14ac:dyDescent="0.15">
      <c r="B65" s="3" t="s">
        <v>149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161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147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thickBot="1" x14ac:dyDescent="0.2">
      <c r="B69" s="122" t="s">
        <v>159</v>
      </c>
      <c r="C69" s="217"/>
      <c r="D69" s="217"/>
      <c r="E69" s="127">
        <f>I49-E64</f>
        <v>956600</v>
      </c>
      <c r="F69" s="87"/>
      <c r="G69" s="87"/>
      <c r="I69" s="87"/>
      <c r="K69" s="33"/>
    </row>
    <row r="70" spans="1:11" thickTop="1" x14ac:dyDescent="0.15">
      <c r="B70" s="19" t="s">
        <v>150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15">
      <c r="A72" s="5"/>
      <c r="B72" s="107" t="s">
        <v>133</v>
      </c>
      <c r="C72" s="256">
        <f>Data!C5</f>
        <v>45291</v>
      </c>
      <c r="D72" s="256"/>
      <c r="E72" s="254" t="s">
        <v>219</v>
      </c>
      <c r="F72" s="254"/>
      <c r="H72" s="254" t="s">
        <v>218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5" t="s">
        <v>102</v>
      </c>
      <c r="D73" s="255"/>
      <c r="E73" s="257" t="s">
        <v>103</v>
      </c>
      <c r="F73" s="255"/>
      <c r="H73" s="257" t="s">
        <v>103</v>
      </c>
      <c r="I73" s="255"/>
      <c r="K73" s="24"/>
    </row>
    <row r="74" spans="1:11" ht="15" customHeight="1" x14ac:dyDescent="0.15">
      <c r="B74" s="3" t="s">
        <v>132</v>
      </c>
      <c r="C74" s="77">
        <f>Data!C6</f>
        <v>3011012</v>
      </c>
      <c r="D74" s="218"/>
      <c r="E74" s="205">
        <f>H74</f>
        <v>3011012</v>
      </c>
      <c r="F74" s="218"/>
      <c r="H74" s="205">
        <f>C74</f>
        <v>3011012</v>
      </c>
      <c r="I74" s="218"/>
      <c r="K74" s="24"/>
    </row>
    <row r="75" spans="1:11" ht="15" customHeight="1" x14ac:dyDescent="0.15">
      <c r="B75" s="105" t="s">
        <v>108</v>
      </c>
      <c r="C75" s="77">
        <f>Data!C8</f>
        <v>2597400</v>
      </c>
      <c r="D75" s="164">
        <f>C75/$C$74</f>
        <v>0.86263355974668987</v>
      </c>
      <c r="E75" s="205">
        <f>87.8%*E74</f>
        <v>2643668.5359999998</v>
      </c>
      <c r="F75" s="165">
        <f>E75/E74</f>
        <v>0.878</v>
      </c>
      <c r="H75" s="205">
        <f>H74*87%</f>
        <v>2619580.44</v>
      </c>
      <c r="I75" s="165">
        <f>H75/$H$74</f>
        <v>0.87</v>
      </c>
      <c r="K75" s="24"/>
    </row>
    <row r="76" spans="1:11" ht="15" customHeight="1" x14ac:dyDescent="0.15">
      <c r="B76" s="35" t="s">
        <v>96</v>
      </c>
      <c r="C76" s="166">
        <f>C74-C75</f>
        <v>413612</v>
      </c>
      <c r="D76" s="219"/>
      <c r="E76" s="167">
        <f>E74-E75</f>
        <v>367343.46400000015</v>
      </c>
      <c r="F76" s="219"/>
      <c r="H76" s="167">
        <f>H74-H75</f>
        <v>391431.56000000006</v>
      </c>
      <c r="I76" s="219"/>
      <c r="K76" s="24"/>
    </row>
    <row r="77" spans="1:11" ht="15" customHeight="1" x14ac:dyDescent="0.15">
      <c r="B77" s="105" t="s">
        <v>245</v>
      </c>
      <c r="C77" s="77">
        <f>Data!C10</f>
        <v>125283</v>
      </c>
      <c r="D77" s="164">
        <f>C77/$C$74</f>
        <v>4.1608269910581558E-2</v>
      </c>
      <c r="E77" s="205">
        <f>5.04%*E74</f>
        <v>151755.0048</v>
      </c>
      <c r="F77" s="165">
        <f>E77/E74</f>
        <v>5.04E-2</v>
      </c>
      <c r="H77" s="205">
        <f>H74*5.04%</f>
        <v>151755.0048</v>
      </c>
      <c r="I77" s="165">
        <f>H77/$H$74</f>
        <v>5.04E-2</v>
      </c>
      <c r="K77" s="24"/>
    </row>
    <row r="78" spans="1:11" ht="15" customHeight="1" x14ac:dyDescent="0.15">
      <c r="B78" s="35" t="s">
        <v>97</v>
      </c>
      <c r="C78" s="166">
        <f>C76-C77</f>
        <v>288329</v>
      </c>
      <c r="D78" s="219"/>
      <c r="E78" s="167">
        <f>E76-E77</f>
        <v>215588.45920000016</v>
      </c>
      <c r="F78" s="219"/>
      <c r="H78" s="167">
        <f>H76-H77</f>
        <v>239676.55520000006</v>
      </c>
      <c r="I78" s="219"/>
      <c r="K78" s="24"/>
    </row>
    <row r="79" spans="1:11" ht="15" customHeight="1" x14ac:dyDescent="0.15">
      <c r="B79" s="105" t="s">
        <v>127</v>
      </c>
      <c r="C79" s="77">
        <f>MAX(Data!C17,0)</f>
        <v>24063</v>
      </c>
      <c r="D79" s="164">
        <f>C79/$C$74</f>
        <v>7.9916652607163307E-3</v>
      </c>
      <c r="E79" s="186">
        <f>E74*F79</f>
        <v>24063</v>
      </c>
      <c r="F79" s="165">
        <f t="shared" ref="F79:F84" si="3">I79</f>
        <v>7.9916652607163307E-3</v>
      </c>
      <c r="H79" s="205">
        <f>C79</f>
        <v>24063</v>
      </c>
      <c r="I79" s="165">
        <f>H79/$H$74</f>
        <v>7.9916652607163307E-3</v>
      </c>
      <c r="K79" s="24"/>
    </row>
    <row r="80" spans="1:11" ht="15" customHeight="1" x14ac:dyDescent="0.15">
      <c r="B80" s="28" t="s">
        <v>246</v>
      </c>
      <c r="C80" s="77">
        <f>MAX(Data!C14,0)+MAX(Data!C15,0)-MAX(Data!C12,0)</f>
        <v>57024</v>
      </c>
      <c r="D80" s="164">
        <f>C80/$C$74</f>
        <v>1.8938483141216308E-2</v>
      </c>
      <c r="E80" s="205">
        <f>E74*1.59%</f>
        <v>47875.090800000005</v>
      </c>
      <c r="F80" s="165">
        <f>E80/E74</f>
        <v>1.5900000000000001E-2</v>
      </c>
      <c r="H80" s="205">
        <f>H74*D80</f>
        <v>57024</v>
      </c>
      <c r="I80" s="165">
        <f>H80/$H$74</f>
        <v>1.8938483141216308E-2</v>
      </c>
      <c r="K80" s="24"/>
    </row>
    <row r="81" spans="1:11" ht="15" customHeight="1" x14ac:dyDescent="0.15">
      <c r="B81" s="28" t="s">
        <v>112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137</v>
      </c>
    </row>
    <row r="82" spans="1:11" ht="15" customHeight="1" x14ac:dyDescent="0.15">
      <c r="B82" s="73" t="s">
        <v>180</v>
      </c>
      <c r="C82" s="77">
        <f>MAX(Data!C18,0)</f>
        <v>20681</v>
      </c>
      <c r="D82" s="164">
        <f>C82/$C$74</f>
        <v>6.8684548583665562E-3</v>
      </c>
      <c r="E82" s="186">
        <f>E74*F82</f>
        <v>20681</v>
      </c>
      <c r="F82" s="165">
        <f t="shared" si="3"/>
        <v>6.8684548583665562E-3</v>
      </c>
      <c r="H82" s="205">
        <f>H74*D82</f>
        <v>20681</v>
      </c>
      <c r="I82" s="165">
        <f>H82/$H$74</f>
        <v>6.8684548583665562E-3</v>
      </c>
      <c r="K82" s="24"/>
    </row>
    <row r="83" spans="1:11" ht="15" customHeight="1" thickBot="1" x14ac:dyDescent="0.2">
      <c r="B83" s="106" t="s">
        <v>131</v>
      </c>
      <c r="C83" s="168">
        <f>C78-C79-C80-C81-C82</f>
        <v>186561</v>
      </c>
      <c r="D83" s="169">
        <f>C83/$C$74</f>
        <v>6.1959567082429431E-2</v>
      </c>
      <c r="E83" s="170">
        <f>E78-E79-E80-E81-E82</f>
        <v>122969.36840000015</v>
      </c>
      <c r="F83" s="169">
        <f>E83/E74</f>
        <v>4.0839879880917161E-2</v>
      </c>
      <c r="H83" s="170">
        <f>H78-H79-H80-H81-H82</f>
        <v>137908.55520000006</v>
      </c>
      <c r="I83" s="169">
        <f>H83/$H$74</f>
        <v>4.5801396739700823E-2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172</v>
      </c>
      <c r="C85" s="166">
        <f>C83*(1-I84)</f>
        <v>139920.75</v>
      </c>
      <c r="D85" s="171">
        <f>C85/$C$74</f>
        <v>4.646967531182207E-2</v>
      </c>
      <c r="E85" s="172">
        <f>E83*(1-F84)</f>
        <v>92227.026300000114</v>
      </c>
      <c r="F85" s="171">
        <f>E85/E74</f>
        <v>3.0629909910687873E-2</v>
      </c>
      <c r="H85" s="172">
        <f>H83*(1-I84)</f>
        <v>103431.41640000005</v>
      </c>
      <c r="I85" s="171">
        <f>H85/$H$74</f>
        <v>3.4351047554775617E-2</v>
      </c>
      <c r="K85" s="24"/>
    </row>
    <row r="86" spans="1:11" ht="15" customHeight="1" x14ac:dyDescent="0.15">
      <c r="B86" s="87" t="s">
        <v>168</v>
      </c>
      <c r="C86" s="173">
        <f>C85*Data!C4/Common_Shares</f>
        <v>0.7645066246949036</v>
      </c>
      <c r="D86" s="218"/>
      <c r="E86" s="174">
        <f>E85*Data!C4/Common_Shares</f>
        <v>0.50391505607467935</v>
      </c>
      <c r="F86" s="218"/>
      <c r="H86" s="174">
        <f>H85*Data!C4/Common_Shares</f>
        <v>0.56513421375583772</v>
      </c>
      <c r="I86" s="218"/>
      <c r="K86" s="24"/>
    </row>
    <row r="87" spans="1:11" ht="15" customHeight="1" x14ac:dyDescent="0.15">
      <c r="B87" s="87" t="s">
        <v>221</v>
      </c>
      <c r="C87" s="165">
        <f>C86*Exchange_Rate/Dashboard!G3</f>
        <v>0.14864175384734249</v>
      </c>
      <c r="D87" s="218"/>
      <c r="E87" s="239">
        <f>E86*Exchange_Rate/Dashboard!G3</f>
        <v>9.7975367780382835E-2</v>
      </c>
      <c r="F87" s="218"/>
      <c r="H87" s="239">
        <f>H86*Exchange_Rate/Dashboard!G3</f>
        <v>0.10987810697563294</v>
      </c>
      <c r="I87" s="218"/>
      <c r="K87" s="24"/>
    </row>
    <row r="88" spans="1:11" ht="15" customHeight="1" x14ac:dyDescent="0.15">
      <c r="B88" s="86" t="s">
        <v>220</v>
      </c>
      <c r="C88" s="175">
        <f>Inputs!F5</f>
        <v>0.45</v>
      </c>
      <c r="D88" s="171">
        <f>C88/C86</f>
        <v>0.58861491249939701</v>
      </c>
      <c r="E88" s="204">
        <f>C88*0.68</f>
        <v>0.30600000000000005</v>
      </c>
      <c r="F88" s="171">
        <f>E88/E86</f>
        <v>0.60724520196644283</v>
      </c>
      <c r="H88" s="176">
        <f>Inputs!F6</f>
        <v>0.45</v>
      </c>
      <c r="I88" s="171">
        <f>H88/H86</f>
        <v>0.79627102561944574</v>
      </c>
      <c r="K88" s="24"/>
    </row>
    <row r="89" spans="1:11" ht="15" customHeight="1" x14ac:dyDescent="0.15">
      <c r="B89" s="87" t="s">
        <v>238</v>
      </c>
      <c r="C89" s="165">
        <f>C88*Exchange_Rate/Dashboard!G3</f>
        <v>8.7492752934610424E-2</v>
      </c>
      <c r="D89" s="218"/>
      <c r="E89" s="165">
        <f>E88*Exchange_Rate/Dashboard!G3</f>
        <v>5.9495071995535088E-2</v>
      </c>
      <c r="F89" s="218"/>
      <c r="H89" s="165">
        <f>H88*Exchange_Rate/Dashboard!G3</f>
        <v>8.7492752934610424E-2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162</v>
      </c>
      <c r="C91" s="21"/>
      <c r="K91" s="50" t="s">
        <v>139</v>
      </c>
    </row>
    <row r="92" spans="1:11" ht="15" customHeight="1" x14ac:dyDescent="0.15">
      <c r="B92" s="10" t="s">
        <v>163</v>
      </c>
      <c r="C92" s="207" t="str">
        <f>Inputs!C15</f>
        <v>CN</v>
      </c>
      <c r="D92" s="10" t="s">
        <v>164</v>
      </c>
      <c r="E92" s="254" t="s">
        <v>219</v>
      </c>
      <c r="F92" s="254"/>
      <c r="G92" s="87"/>
      <c r="H92" s="254" t="s">
        <v>218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222</v>
      </c>
      <c r="F93" s="146">
        <f>FV(E87,D93,0,-(E86/C93))</f>
        <v>11.168319352381761</v>
      </c>
      <c r="H93" s="87" t="s">
        <v>222</v>
      </c>
      <c r="I93" s="146">
        <f>FV(H87,D93,0,-(H86/C93))</f>
        <v>13.218906417585123</v>
      </c>
      <c r="K93" s="24"/>
    </row>
    <row r="94" spans="1:11" ht="15" customHeight="1" x14ac:dyDescent="0.15">
      <c r="B94" s="1" t="s">
        <v>224</v>
      </c>
      <c r="C94" s="188">
        <f>Dashboard!G20</f>
        <v>0.15</v>
      </c>
      <c r="D94" s="147"/>
      <c r="E94" s="87" t="s">
        <v>223</v>
      </c>
      <c r="F94" s="146">
        <f>FV(E89,D93,0,-(E88/C93))</f>
        <v>5.6739255794679586</v>
      </c>
      <c r="H94" s="87" t="s">
        <v>223</v>
      </c>
      <c r="I94" s="146">
        <f>FV(H89,D93,0,-(H88/C93))</f>
        <v>9.5063078616251886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227</v>
      </c>
      <c r="F96" s="189" t="str">
        <f>E72</f>
        <v>Pessimistic Case</v>
      </c>
      <c r="H96" s="189" t="str">
        <f>H72</f>
        <v>Base Case</v>
      </c>
      <c r="I96" s="125" t="s">
        <v>226</v>
      </c>
      <c r="K96" s="24"/>
    </row>
    <row r="97" spans="2:11" ht="15" customHeight="1" x14ac:dyDescent="0.15">
      <c r="B97" s="1" t="s">
        <v>136</v>
      </c>
      <c r="C97" s="91">
        <f>H97*Common_Shares/Data!C4</f>
        <v>1844059.9617184941</v>
      </c>
      <c r="E97" s="124">
        <f>F97*(1-C94)</f>
        <v>7.2357805812750327</v>
      </c>
      <c r="F97" s="124">
        <f>PV(C93,D93,0,-F93)*Exchange_Rate</f>
        <v>8.5126830367941562</v>
      </c>
      <c r="H97" s="124">
        <f>PV(C93,D93,0,-I93)*Exchange_Rate</f>
        <v>10.075675388163793</v>
      </c>
      <c r="I97" s="224"/>
      <c r="K97" s="24"/>
    </row>
    <row r="98" spans="2:11" ht="15" customHeight="1" x14ac:dyDescent="0.15">
      <c r="B98" s="28" t="s">
        <v>151</v>
      </c>
      <c r="C98" s="91">
        <f>E53*Exchange_Rate</f>
        <v>203135.22702972093</v>
      </c>
      <c r="E98" s="222"/>
      <c r="F98" s="222"/>
      <c r="H98" s="124">
        <f>C98*Data!$C$4/Common_Shares</f>
        <v>1.1099013318119357</v>
      </c>
      <c r="I98" s="224"/>
      <c r="K98" s="24"/>
    </row>
    <row r="99" spans="2:11" ht="15" customHeight="1" thickBot="1" x14ac:dyDescent="0.2">
      <c r="B99" s="106" t="s">
        <v>152</v>
      </c>
      <c r="C99" s="109">
        <f>(E65+MIN(0,E70))*Exchange_Rate</f>
        <v>-498121.30000138271</v>
      </c>
      <c r="E99" s="223"/>
      <c r="F99" s="148">
        <f>IF(H99&gt;0,H99*0.85,H99*1.15)</f>
        <v>-3.1299116736838437</v>
      </c>
      <c r="H99" s="148">
        <f>C99*Data!$C$4/Common_Shares</f>
        <v>-2.7216623249424732</v>
      </c>
      <c r="I99" s="225"/>
      <c r="K99" s="24"/>
    </row>
    <row r="100" spans="2:11" ht="15" customHeight="1" thickTop="1" x14ac:dyDescent="0.15">
      <c r="B100" s="1" t="s">
        <v>118</v>
      </c>
      <c r="C100" s="91">
        <f>C97-C98+$C$99</f>
        <v>1142803.4346873905</v>
      </c>
      <c r="E100" s="110">
        <f>MAX(E97-H98+F99,0)</f>
        <v>2.995967575779253</v>
      </c>
      <c r="F100" s="110">
        <f>MAX(F97-H98+F99,0)</f>
        <v>4.2728700312983765</v>
      </c>
      <c r="H100" s="110">
        <f>MAX(C100*Data!$C$4/Common_Shares,0)</f>
        <v>6.2441117314093839</v>
      </c>
      <c r="I100" s="110">
        <f>H100*1.25</f>
        <v>7.8051396642617297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170</v>
      </c>
      <c r="C102" s="128" t="str">
        <f>C96</f>
        <v>HKD</v>
      </c>
      <c r="E102" s="125" t="s">
        <v>227</v>
      </c>
      <c r="F102" s="189" t="str">
        <f>F96</f>
        <v>Pessimistic Case</v>
      </c>
      <c r="H102" s="189" t="str">
        <f>H96</f>
        <v>Base Case</v>
      </c>
      <c r="I102" s="125" t="s">
        <v>226</v>
      </c>
      <c r="K102" s="24"/>
    </row>
    <row r="103" spans="2:11" ht="15" customHeight="1" x14ac:dyDescent="0.15">
      <c r="B103" s="1" t="s">
        <v>169</v>
      </c>
      <c r="C103" s="91">
        <f>H103*Common_Shares/Data!C4</f>
        <v>1326146.1392957831</v>
      </c>
      <c r="E103" s="110">
        <f>F103*(1-C94)</f>
        <v>3.676048224638067</v>
      </c>
      <c r="F103" s="124">
        <f>PV(C93,D93,0,-F94)*Exchange_Rate</f>
        <v>4.3247626172212552</v>
      </c>
      <c r="H103" s="124">
        <f>PV(C93,D93,0,-I94)*Exchange_Rate</f>
        <v>7.2458695997927158</v>
      </c>
      <c r="I103" s="110">
        <f>H103*1.25</f>
        <v>9.0573369997408939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208</v>
      </c>
      <c r="C105" s="128" t="str">
        <f>C102</f>
        <v>HKD</v>
      </c>
      <c r="E105" s="125" t="s">
        <v>227</v>
      </c>
      <c r="F105" s="190" t="str">
        <f>F96</f>
        <v>Pessimistic Case</v>
      </c>
      <c r="H105" s="190" t="str">
        <f>H96</f>
        <v>Base Case</v>
      </c>
      <c r="I105" s="125" t="s">
        <v>226</v>
      </c>
      <c r="K105" s="24"/>
    </row>
    <row r="106" spans="2:11" ht="15" customHeight="1" x14ac:dyDescent="0.15">
      <c r="B106" s="1" t="s">
        <v>209</v>
      </c>
      <c r="C106" s="91">
        <f>F106*Common_Shares/Data!C4</f>
        <v>786773.56712601206</v>
      </c>
      <c r="E106" s="110">
        <f>(E100+E103)/2</f>
        <v>3.33600790020866</v>
      </c>
      <c r="F106" s="124">
        <f>(F100+F103)/2</f>
        <v>4.2988163242598159</v>
      </c>
      <c r="H106" s="124">
        <f>(H100+H103)/2</f>
        <v>6.7449906656010494</v>
      </c>
      <c r="I106" s="110">
        <f>H106*1.25</f>
        <v>8.4312383320013122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173</v>
      </c>
      <c r="C108" s="191" t="s">
        <v>242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8" priority="10">
      <formula>LEN(TRIM(C86))=0</formula>
    </cfRule>
  </conditionalFormatting>
  <conditionalFormatting sqref="C108">
    <cfRule type="containsBlanks" dxfId="7" priority="7">
      <formula>LEN(TRIM(C108))=0</formula>
    </cfRule>
  </conditionalFormatting>
  <conditionalFormatting sqref="E74 F84 E76 E78:E79 E81:E82">
    <cfRule type="containsBlanks" dxfId="6" priority="5">
      <formula>LEN(TRIM(E74))=0</formula>
    </cfRule>
  </conditionalFormatting>
  <conditionalFormatting sqref="E88">
    <cfRule type="containsBlanks" dxfId="5" priority="4">
      <formula>LEN(TRIM(E88))=0</formula>
    </cfRule>
  </conditionalFormatting>
  <conditionalFormatting sqref="H74:H82 I84">
    <cfRule type="containsBlanks" dxfId="4" priority="14">
      <formula>LEN(TRIM(H74))=0</formula>
    </cfRule>
  </conditionalFormatting>
  <conditionalFormatting sqref="H88">
    <cfRule type="containsBlanks" dxfId="3" priority="9">
      <formula>LEN(TRIM(H88))=0</formula>
    </cfRule>
  </conditionalFormatting>
  <conditionalFormatting sqref="E75">
    <cfRule type="containsBlanks" dxfId="2" priority="3">
      <formula>LEN(TRIM(E75))=0</formula>
    </cfRule>
  </conditionalFormatting>
  <conditionalFormatting sqref="E77">
    <cfRule type="containsBlanks" dxfId="1" priority="2">
      <formula>LEN(TRIM(E77))=0</formula>
    </cfRule>
  </conditionalFormatting>
  <conditionalFormatting sqref="E80">
    <cfRule type="containsBlanks" dxfId="0" priority="1">
      <formula>LEN(TRIM(E80))=0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2024-11-17T14:43:57Z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