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C39D4070-430F-8B43-9DF0-47B129889E5F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7" i="4" l="1"/>
  <c r="C27" i="4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<sst xmlns="http://schemas.openxmlformats.org/spreadsheetml/2006/main" count="391" uniqueCount="268">
  <si>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</si>
  <si>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</si>
  <si>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</si>
  <si>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</si>
  <si>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</si>
  <si>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</si>
  <si>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</si>
  <si>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</si>
  <si>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</si>
  <si>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</si>
  <si>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</si>
  <si>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</si>
  <si>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</si>
  <si>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</si>
  <si>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</si>
  <si>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</si>
  <si>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</si>
  <si>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</si>
  <si>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</si>
  <si>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</si>
  <si>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</si>
  <si>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</si>
  <si>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</si>
  <si>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</si>
  <si>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</si>
  <si>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</si>
  <si>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</si>
  <si>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</si>
  <si>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</si>
  <si>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</si>
  <si>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</si>
  <si>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</si>
  <si>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</si>
  <si>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</si>
  <si>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</si>
  <si>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</si>
  <si>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</si>
  <si>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</si>
  <si>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</si>
  <si>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</si>
  <si>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</si>
  <si>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</si>
  <si>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</si>
  <si>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</si>
  <si>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</si>
  <si>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</si>
  <si>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</si>
  <si>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</si>
  <si>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</si>
  <si>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</si>
  <si>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</si>
  <si>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</si>
  <si>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</si>
  <si>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</si>
  <si>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</si>
  <si>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</si>
  <si>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</si>
  <si>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</si>
  <si>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</si>
  <si>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</si>
  <si>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</si>
  <si>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</si>
  <si>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</si>
  <si>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</si>
  <si>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</si>
  <si>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</si>
  <si>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</si>
  <si>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</si>
  <si>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</si>
  <si>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</si>
  <si>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</si>
  <si>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</si>
  <si>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</si>
  <si>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</si>
  <si>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</si>
  <si>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</si>
  <si>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</si>
  <si>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</si>
  <si>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</si>
  <si>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</si>
  <si>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</si>
  <si>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</si>
  <si>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</si>
  <si>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</si>
  <si>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</si>
  <si>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</si>
  <si>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</si>
  <si>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</si>
  <si>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</si>
  <si>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</si>
  <si>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</si>
  <si>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</si>
  <si>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</si>
  <si>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</si>
  <si>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</si>
  <si>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</si>
  <si>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</si>
  <si>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</si>
  <si>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</si>
  <si>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</si>
  <si>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</si>
  <si>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</si>
  <si>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</si>
  <si>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</si>
  <si>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</si>
  <si>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</si>
  <si>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</si>
  <si>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</si>
  <si>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</si>
  <si>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</si>
  <si>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</si>
  <si>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</si>
  <si>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</si>
  <si>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</si>
  <si>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</si>
  <si>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</si>
  <si>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</si>
  <si>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</si>
  <si>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</si>
  <si>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</si>
  <si>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</si>
  <si>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</si>
  <si>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</si>
  <si>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</si>
  <si>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</si>
  <si>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</si>
  <si>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</si>
  <si>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</si>
  <si>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</si>
  <si>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</si>
  <si>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</si>
  <si>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</si>
  <si>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</si>
  <si>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</si>
  <si>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</si>
  <si>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</si>
  <si>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</si>
  <si>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</si>
  <si>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</si>
  <si>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</si>
  <si>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</si>
  <si>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</si>
  <si>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</si>
  <si>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</si>
  <si>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</si>
  <si>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</si>
  <si>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</si>
  <si>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</si>
  <si>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</si>
  <si>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</si>
  <si>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</si>
  <si>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</si>
  <si>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</si>
  <si>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</si>
  <si>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</si>
  <si>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</si>
  <si>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</si>
  <si>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</si>
  <si>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</si>
  <si>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</si>
  <si>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</si>
  <si>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</si>
  <si>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</si>
  <si>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</si>
  <si>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</si>
  <si>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</si>
  <si>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</si>
  <si>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</si>
  <si>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</si>
  <si>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</si>
  <si>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</si>
  <si>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</si>
  <si>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</si>
  <si>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</si>
  <si>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</si>
  <si>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</si>
  <si>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</si>
  <si>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</si>
  <si>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</si>
  <si>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</si>
  <si>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</si>
  <si>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</si>
  <si>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</si>
  <si>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</si>
  <si>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</si>
  <si>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</si>
  <si>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</si>
  <si>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</si>
  <si>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</si>
  <si>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</si>
  <si>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</si>
  <si>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</si>
  <si>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</si>
  <si>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</si>
  <si>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</si>
  <si>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</si>
  <si>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</si>
  <si>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</si>
  <si>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</si>
  <si>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</si>
  <si>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</si>
  <si>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</si>
  <si>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</si>
  <si>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</si>
  <si>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</si>
  <si>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</si>
  <si>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</si>
  <si>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</si>
  <si>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</si>
  <si>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</si>
  <si>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</si>
  <si>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</si>
  <si>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</si>
  <si>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</si>
  <si>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</si>
  <si>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</si>
  <si>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</si>
  <si>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</si>
  <si>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</si>
  <si>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</si>
  <si>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</si>
  <si>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</si>
  <si>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</si>
  <si>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</si>
  <si>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</si>
  <si>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</si>
  <si>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</si>
  <si>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</si>
  <si>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</si>
  <si>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</si>
  <si>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</si>
  <si>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</si>
  <si>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</si>
  <si>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</si>
  <si>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</si>
  <si>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</si>
  <si>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</si>
  <si>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</si>
  <si>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</si>
  <si>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</si>
  <si>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</si>
  <si>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</si>
  <si>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</si>
  <si>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</si>
  <si>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</si>
  <si>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</si>
  <si>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</si>
  <si>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</si>
  <si>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</si>
  <si>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</si>
  <si>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</si>
  <si>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</si>
  <si>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</si>
  <si>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</si>
  <si>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</si>
  <si>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</si>
  <si>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</si>
  <si>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</si>
  <si>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</si>
  <si>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</si>
  <si>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</si>
  <si>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</si>
  <si>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0564.HK</t>
  </si>
  <si>
    <t>C0006</t>
  </si>
  <si>
    <t>CNY</t>
  </si>
  <si>
    <t>鄭煤機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</si>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</sst>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0.78453465804081768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0</c:v>
                </c:pt>
                <c:pt idx="4">
                  <c:v>1.0669041048412063E-2</c:v>
                </c:pt>
                <c:pt idx="5">
                  <c:v>0</c:v>
                </c:pt>
                <c:pt idx="6">
                  <c:v>8.9729881954109345E-2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23" zoomScaleNormal="100" workbookViewId="0">
      <selection activeCell="D28" sqref="D2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8" t="s">
        <v>262</v>
      </c>
    </row>
    <row r="5" spans="1:5" ht="14" x14ac:dyDescent="0.15">
      <c r="B5" s="141" t="s">
        <v>196</v>
      </c>
      <c r="C5" s="191" t="s">
        <v>265</v>
      </c>
    </row>
    <row r="6" spans="1:5" ht="14" x14ac:dyDescent="0.15">
      <c r="B6" s="141" t="s">
        <v>164</v>
      </c>
      <c r="C6" s="189">
        <v>45634</v>
      </c>
    </row>
    <row r="7" spans="1:5" ht="14" x14ac:dyDescent="0.15">
      <c r="B7" s="140" t="s">
        <v>4</v>
      </c>
      <c r="C7" s="190">
        <v>8</v>
      </c>
    </row>
    <row r="8" spans="1:5" ht="14" x14ac:dyDescent="0.15">
      <c r="B8" s="140" t="s">
        <v>216</v>
      </c>
      <c r="C8" s="191" t="s">
        <v>71</v>
      </c>
      <c r="E8" s="267"/>
    </row>
    <row r="9" spans="1:5" ht="14" x14ac:dyDescent="0.15">
      <c r="B9" s="140" t="s">
        <v>217</v>
      </c>
      <c r="C9" s="192" t="s">
        <v>263</v>
      </c>
    </row>
    <row r="10" spans="1:5" ht="14" x14ac:dyDescent="0.15">
      <c r="B10" s="140" t="s">
        <v>218</v>
      </c>
      <c r="C10" s="193">
        <v>1785399930</v>
      </c>
    </row>
    <row r="11" spans="1:5" ht="14" x14ac:dyDescent="0.15">
      <c r="B11" s="140" t="s">
        <v>219</v>
      </c>
      <c r="C11" s="192" t="s">
        <v>264</v>
      </c>
    </row>
    <row r="12" spans="1:5" ht="14" x14ac:dyDescent="0.15">
      <c r="B12" s="218" t="s">
        <v>10</v>
      </c>
      <c r="C12" s="219">
        <v>45291</v>
      </c>
    </row>
    <row r="13" spans="1:5" ht="14" x14ac:dyDescent="0.15">
      <c r="B13" s="218" t="s">
        <v>11</v>
      </c>
      <c r="C13" s="220">
        <v>1000</v>
      </c>
    </row>
    <row r="14" spans="1:5" ht="14" x14ac:dyDescent="0.15">
      <c r="B14" s="218" t="s">
        <v>220</v>
      </c>
      <c r="C14" s="219">
        <v>45473</v>
      </c>
    </row>
    <row r="15" spans="1:5" ht="14" x14ac:dyDescent="0.15">
      <c r="B15" s="218" t="s">
        <v>257</v>
      </c>
      <c r="C15" s="176" t="s">
        <v>266</v>
      </c>
    </row>
    <row r="16" spans="1:5" ht="14" x14ac:dyDescent="0.15">
      <c r="B16" s="222" t="s">
        <v>97</v>
      </c>
      <c r="C16" s="223">
        <v>0.25</v>
      </c>
      <c r="D16" s="24"/>
    </row>
    <row r="17" spans="2:13" ht="14" x14ac:dyDescent="0.15">
      <c r="B17" s="240" t="s">
        <v>225</v>
      </c>
      <c r="C17" s="242" t="s">
        <v>246</v>
      </c>
      <c r="D17" s="24"/>
    </row>
    <row r="18" spans="2:13" ht="14" x14ac:dyDescent="0.15">
      <c r="B18" s="240" t="s">
        <v>239</v>
      </c>
      <c r="C18" s="242" t="s">
        <v>246</v>
      </c>
      <c r="D18" s="24"/>
    </row>
    <row r="19" spans="2:13" ht="14" x14ac:dyDescent="0.15">
      <c r="B19" s="240" t="s">
        <v>240</v>
      </c>
      <c r="C19" s="242" t="s">
        <v>246</v>
      </c>
      <c r="D19" s="24"/>
    </row>
    <row r="20" spans="2:13" ht="14" x14ac:dyDescent="0.15">
      <c r="B20" s="241" t="s">
        <v>229</v>
      </c>
      <c r="C20" s="242" t="s">
        <v>246</v>
      </c>
      <c r="D20" s="24"/>
    </row>
    <row r="21" spans="2:13" ht="14" x14ac:dyDescent="0.15">
      <c r="B21" s="224" t="s">
        <v>232</v>
      </c>
      <c r="C21" s="242" t="s">
        <v>246</v>
      </c>
      <c r="D21" s="24"/>
    </row>
    <row r="22" spans="2:13" ht="84" x14ac:dyDescent="0.15">
      <c r="B22" s="226" t="s">
        <v>231</v>
      </c>
      <c r="C22" s="243" t="s">
        <v>260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49">
        <v>36423236</v>
      </c>
      <c r="D25" s="149">
        <v>32043306</v>
      </c>
      <c r="E25" s="149">
        <v>29293527</v>
      </c>
      <c r="F25" s="149">
        <v>26519393</v>
      </c>
      <c r="G25" s="149"/>
      <c r="H25" s="149"/>
      <c r="I25" s="149"/>
      <c r="J25" s="149"/>
      <c r="K25" s="149"/>
      <c r="L25" s="149"/>
      <c r="M25" s="149"/>
    </row>
    <row r="26" spans="2:13" ht="15" x14ac:dyDescent="0.15">
      <c r="B26" s="97" t="s">
        <v>106</v>
      </c>
      <c r="C26" s="150">
        <v>28575291</v>
      </c>
      <c r="D26" s="150">
        <v>25644599</v>
      </c>
      <c r="E26" s="150">
        <v>22885480</v>
      </c>
      <c r="F26" s="150">
        <v>20008105</v>
      </c>
      <c r="G26" s="150"/>
      <c r="H26" s="150"/>
      <c r="I26" s="150"/>
      <c r="J26" s="150"/>
      <c r="K26" s="150"/>
      <c r="L26" s="150"/>
      <c r="M26" s="150"/>
    </row>
    <row r="27" spans="2:13" ht="15" x14ac:dyDescent="0.15">
      <c r="B27" s="97" t="s">
        <v>104</v>
      </c>
      <c r="C27" s="150">
        <f>1156268+1199587+1568223</f>
        <v>3924078</v>
      </c>
      <c r="D27" s="150">
        <f>831593+1072973+1385962</f>
        <v>3290528</v>
      </c>
      <c r="E27" s="150">
        <v>877689</v>
      </c>
      <c r="F27" s="150">
        <v>1662947</v>
      </c>
      <c r="G27" s="150"/>
      <c r="H27" s="150"/>
      <c r="I27" s="150"/>
      <c r="J27" s="150"/>
      <c r="K27" s="150"/>
      <c r="L27" s="150"/>
      <c r="M27" s="150"/>
    </row>
    <row r="28" spans="2:13" ht="15" x14ac:dyDescent="0.15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258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4" x14ac:dyDescent="0.15">
      <c r="B30" s="99" t="s">
        <v>111</v>
      </c>
      <c r="C30" s="150">
        <v>200260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5" x14ac:dyDescent="0.15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5" x14ac:dyDescent="0.15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5" x14ac:dyDescent="0.15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5" x14ac:dyDescent="0.15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5" x14ac:dyDescent="0.15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5" x14ac:dyDescent="0.15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5" x14ac:dyDescent="0.15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5" x14ac:dyDescent="0.15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5" x14ac:dyDescent="0.15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5" x14ac:dyDescent="0.15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5" x14ac:dyDescent="0.15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5" x14ac:dyDescent="0.15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5" x14ac:dyDescent="0.15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4" x14ac:dyDescent="0.15">
      <c r="B44" s="74" t="s">
        <v>208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254</v>
      </c>
      <c r="C45" s="152">
        <f>IF(C44="","",C44*Exchange_Rate/Dashboard!$G$3)</f>
        <v>8.9070631725953364E-2</v>
      </c>
      <c r="D45" s="152">
        <f>IF(D44="","",D44*Exchange_Rate/Dashboard!$G$3)</f>
        <v>5.938042115063559E-2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1" t="s">
        <v>71</v>
      </c>
    </row>
    <row r="57" spans="2:5" ht="14" x14ac:dyDescent="0.15">
      <c r="B57" s="3" t="s">
        <v>120</v>
      </c>
      <c r="C57" s="59"/>
      <c r="D57" s="60">
        <v>0.6</v>
      </c>
      <c r="E57" s="221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5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1" t="s">
        <v>71</v>
      </c>
    </row>
    <row r="66" spans="2:5" ht="14" x14ac:dyDescent="0.15">
      <c r="B66" s="3" t="s">
        <v>72</v>
      </c>
      <c r="C66" s="59"/>
      <c r="D66" s="60">
        <v>0.2</v>
      </c>
      <c r="E66" s="221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1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6" t="s">
        <v>76</v>
      </c>
      <c r="C72" s="247"/>
      <c r="D72" s="248">
        <v>0</v>
      </c>
      <c r="E72" s="249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7">
        <v>5</v>
      </c>
    </row>
    <row r="87" spans="2:8" ht="14" x14ac:dyDescent="0.15">
      <c r="B87" s="10" t="s">
        <v>249</v>
      </c>
      <c r="C87" s="236" t="s">
        <v>252</v>
      </c>
      <c r="D87" s="269">
        <v>0.02</v>
      </c>
    </row>
    <row r="89" spans="2:8" ht="14" x14ac:dyDescent="0.1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72" t="s">
        <v>101</v>
      </c>
      <c r="D90" s="272"/>
      <c r="E90" s="235" t="s">
        <v>102</v>
      </c>
      <c r="F90" s="255" t="s">
        <v>102</v>
      </c>
    </row>
    <row r="91" spans="2:8" ht="14" x14ac:dyDescent="0.15">
      <c r="B91" s="3" t="s">
        <v>127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4" x14ac:dyDescent="0.15">
      <c r="B92" s="104" t="s">
        <v>106</v>
      </c>
      <c r="C92" s="77">
        <f>C26</f>
        <v>28575291</v>
      </c>
      <c r="D92" s="159">
        <f>C92/C91</f>
        <v>0.78453465804081768</v>
      </c>
      <c r="E92" s="252">
        <f>E91*D92</f>
        <v>28575291</v>
      </c>
      <c r="F92" s="252">
        <f>F91*D92</f>
        <v>28575291</v>
      </c>
    </row>
    <row r="93" spans="2:8" ht="14" x14ac:dyDescent="0.15">
      <c r="B93" s="104" t="s">
        <v>248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4" x14ac:dyDescent="0.15">
      <c r="B94" s="104" t="s">
        <v>258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4" x14ac:dyDescent="0.15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4" x14ac:dyDescent="0.15">
      <c r="B97" s="73" t="s">
        <v>173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4" x14ac:dyDescent="0.15">
      <c r="B98" s="86" t="s">
        <v>208</v>
      </c>
      <c r="C98" s="237">
        <f>C44</f>
        <v>0.84</v>
      </c>
      <c r="D98" s="266"/>
      <c r="E98" s="254">
        <f>F98</f>
        <v>0.84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8" sqref="D2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7" t="str">
        <f>Inputs!C4</f>
        <v>0564.HK</v>
      </c>
      <c r="D3" s="278"/>
      <c r="E3" s="87"/>
      <c r="F3" s="3" t="s">
        <v>1</v>
      </c>
      <c r="G3" s="132">
        <v>10.1</v>
      </c>
      <c r="H3" s="134" t="s">
        <v>2</v>
      </c>
    </row>
    <row r="4" spans="1:10" ht="15.75" customHeight="1" x14ac:dyDescent="0.15">
      <c r="B4" s="35" t="s">
        <v>196</v>
      </c>
      <c r="C4" s="279" t="str">
        <f>Inputs!C5</f>
        <v>鄭煤機</v>
      </c>
      <c r="D4" s="280"/>
      <c r="E4" s="87"/>
      <c r="F4" s="3" t="s">
        <v>3</v>
      </c>
      <c r="G4" s="283">
        <f>Inputs!C10</f>
        <v>1785399930</v>
      </c>
      <c r="H4" s="283"/>
      <c r="I4" s="39"/>
    </row>
    <row r="5" spans="1:10" ht="15.75" customHeight="1" x14ac:dyDescent="0.15">
      <c r="B5" s="3" t="s">
        <v>164</v>
      </c>
      <c r="C5" s="281">
        <f>Inputs!C6</f>
        <v>45634</v>
      </c>
      <c r="D5" s="282"/>
      <c r="E5" s="34"/>
      <c r="F5" s="35" t="s">
        <v>100</v>
      </c>
      <c r="G5" s="275">
        <f>G3*G4/1000000</f>
        <v>18032.539293000002</v>
      </c>
      <c r="H5" s="275"/>
      <c r="I5" s="38"/>
      <c r="J5" s="28"/>
    </row>
    <row r="6" spans="1:10" ht="15.75" customHeight="1" x14ac:dyDescent="0.15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CNY</v>
      </c>
      <c r="H6" s="276"/>
      <c r="I6" s="38"/>
    </row>
    <row r="7" spans="1:10" ht="15.75" customHeight="1" x14ac:dyDescent="0.15">
      <c r="B7" s="86" t="s">
        <v>193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1.0709683100382488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5">
        <v>9.1999999999999998E-2</v>
      </c>
      <c r="D17" s="176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1">
        <f>Fin_Analysis!I75</f>
        <v>0.78453465804081768</v>
      </c>
      <c r="F20" s="87" t="s">
        <v>212</v>
      </c>
      <c r="G20" s="172">
        <v>0.15</v>
      </c>
    </row>
    <row r="21" spans="1:8" ht="15.75" customHeight="1" x14ac:dyDescent="0.15">
      <c r="B21" s="137" t="s">
        <v>245</v>
      </c>
      <c r="C21" s="171">
        <f>Fin_Analysis!I77</f>
        <v>0.10773556748225227</v>
      </c>
      <c r="F21" s="87"/>
      <c r="G21" s="29"/>
    </row>
    <row r="22" spans="1:8" ht="15.75" customHeight="1" x14ac:dyDescent="0.15">
      <c r="B22" s="137" t="s">
        <v>192</v>
      </c>
      <c r="C22" s="171">
        <f>Fin_Analysis!I78</f>
        <v>7.3308514744086254E-3</v>
      </c>
      <c r="F22" s="142" t="s">
        <v>185</v>
      </c>
    </row>
    <row r="23" spans="1:8" ht="15.75" customHeight="1" x14ac:dyDescent="0.15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1">
        <f>Fin_Analysis!I81</f>
        <v>1.0669041048412063E-2</v>
      </c>
      <c r="F24" s="140" t="s">
        <v>261</v>
      </c>
      <c r="G24" s="268">
        <f>G3/(Fin_Analysis!H86*G7)</f>
        <v>6.8691559990856081</v>
      </c>
    </row>
    <row r="25" spans="1:8" ht="15.75" customHeight="1" x14ac:dyDescent="0.15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0.61184006426267745</v>
      </c>
    </row>
    <row r="26" spans="1:8" ht="15.75" customHeight="1" x14ac:dyDescent="0.15">
      <c r="B26" s="138" t="s">
        <v>174</v>
      </c>
      <c r="C26" s="171">
        <f>Fin_Analysis!I83</f>
        <v>8.9729881954109345E-2</v>
      </c>
      <c r="F26" s="141" t="s">
        <v>194</v>
      </c>
      <c r="G26" s="178">
        <f>Fin_Analysis!H88*Exchange_Rate/G3</f>
        <v>8.9070631725953364E-2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8.0897177268006448</v>
      </c>
      <c r="D29" s="129">
        <f>G29*(1+G20)</f>
        <v>14.177129051580321</v>
      </c>
      <c r="E29" s="87"/>
      <c r="F29" s="131">
        <f>IF(Fin_Analysis!C108="Profit",Fin_Analysis!F100,IF(Fin_Analysis!C108="Dividend",Fin_Analysis!F103,Fin_Analysis!F106))</f>
        <v>9.5173149727066413</v>
      </c>
      <c r="G29" s="274">
        <f>IF(Fin_Analysis!C108="Profit",Fin_Analysis!I100,IF(Fin_Analysis!C108="Dividend",Fin_Analysis!I103,Fin_Analysis!I106))</f>
        <v>12.32793830572202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6" t="s">
        <v>224</v>
      </c>
      <c r="C32" s="224"/>
    </row>
    <row r="33" spans="1:3" ht="15.75" customHeight="1" x14ac:dyDescent="0.15">
      <c r="A33"/>
      <c r="B33" s="20" t="s">
        <v>225</v>
      </c>
      <c r="C33" s="245" t="str">
        <f>Inputs!C17</f>
        <v>unclear</v>
      </c>
    </row>
    <row r="34" spans="1:3" ht="15.75" customHeight="1" x14ac:dyDescent="0.15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6" t="s">
        <v>227</v>
      </c>
      <c r="C35" s="224"/>
    </row>
    <row r="36" spans="1:3" ht="15.75" customHeight="1" x14ac:dyDescent="0.15">
      <c r="A36"/>
      <c r="B36" s="20" t="s">
        <v>239</v>
      </c>
      <c r="C36" s="245" t="str">
        <f>Inputs!C18</f>
        <v>unclear</v>
      </c>
    </row>
    <row r="37" spans="1:3" ht="15.75" customHeight="1" x14ac:dyDescent="0.15">
      <c r="A37"/>
      <c r="B37" s="20" t="s">
        <v>240</v>
      </c>
      <c r="C37" s="245" t="str">
        <f>Inputs!C19</f>
        <v>unclear</v>
      </c>
    </row>
    <row r="38" spans="1:3" ht="15.75" customHeight="1" x14ac:dyDescent="0.15">
      <c r="A38"/>
      <c r="B38" s="196" t="s">
        <v>228</v>
      </c>
      <c r="C38" s="224"/>
    </row>
    <row r="39" spans="1:3" ht="15.75" customHeight="1" x14ac:dyDescent="0.15">
      <c r="A39"/>
      <c r="B39" s="19" t="s">
        <v>229</v>
      </c>
      <c r="C39" s="245" t="str">
        <f>Inputs!C20</f>
        <v>unclear</v>
      </c>
    </row>
    <row r="40" spans="1:3" ht="15.75" customHeight="1" x14ac:dyDescent="0.15">
      <c r="A40"/>
      <c r="B40" s="1" t="s">
        <v>232</v>
      </c>
      <c r="C40" s="245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6" t="s">
        <v>231</v>
      </c>
      <c r="C43" s="244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7" zoomScaleNormal="100" workbookViewId="0">
      <pane xSplit="2" topLeftCell="C1" activePane="topRight" state="frozen"/>
      <selection activeCell="A4" sqref="A4"/>
      <selection pane="topRight" activeCell="D46" sqref="D4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0">
        <f>IF(Inputs!C25=""," ",Inputs!C25)</f>
        <v>36423236</v>
      </c>
      <c r="D6" s="200">
        <f>IF(Inputs!D25="","",Inputs!D25)</f>
        <v>32043306</v>
      </c>
      <c r="E6" s="200">
        <f>IF(Inputs!E25="","",Inputs!E25)</f>
        <v>29293527</v>
      </c>
      <c r="F6" s="200">
        <f>IF(Inputs!F25="","",Inputs!F25)</f>
        <v>26519393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0.13668783114950744</v>
      </c>
      <c r="D7" s="92">
        <f t="shared" si="1"/>
        <v>9.3869850496322904E-2</v>
      </c>
      <c r="E7" s="92">
        <f t="shared" si="1"/>
        <v>0.10460774875201717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9">
        <f>IF(Inputs!C26="","",Inputs!C26)</f>
        <v>28575291</v>
      </c>
      <c r="D8" s="199">
        <f>IF(Inputs!D26="","",Inputs!D26)</f>
        <v>25644599</v>
      </c>
      <c r="E8" s="199">
        <f>IF(Inputs!E26="","",Inputs!E26)</f>
        <v>22885480</v>
      </c>
      <c r="F8" s="199">
        <f>IF(Inputs!F26="","",Inputs!F26)</f>
        <v>20008105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1">
        <f t="shared" ref="C9:M9" si="2">IF(C6="","",(C6-C8))</f>
        <v>7847945</v>
      </c>
      <c r="D9" s="151">
        <f t="shared" si="2"/>
        <v>6398707</v>
      </c>
      <c r="E9" s="151">
        <f t="shared" si="2"/>
        <v>6408047</v>
      </c>
      <c r="F9" s="151">
        <f t="shared" si="2"/>
        <v>6511288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9">
        <f>IF(Inputs!C27="","",Inputs!C27)</f>
        <v>3924078</v>
      </c>
      <c r="D10" s="199">
        <f>IF(Inputs!D27="","",Inputs!D27)</f>
        <v>3290528</v>
      </c>
      <c r="E10" s="199">
        <f>IF(Inputs!E27="","",Inputs!E27)</f>
        <v>877689</v>
      </c>
      <c r="F10" s="199">
        <f>IF(Inputs!F27="","",Inputs!F27)</f>
        <v>1662947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199">
        <f>IF(Inputs!C30="","",MAX(Inputs!C30,0)/(1-Fin_Analysis!$I$84))</f>
        <v>267013.33333333331</v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242</v>
      </c>
      <c r="C13" s="229">
        <f t="shared" ref="C13:M13" si="3">IF(C14="","",C14/C6)</f>
        <v>0.10039892300252143</v>
      </c>
      <c r="D13" s="229">
        <f t="shared" si="3"/>
        <v>9.6999323353214553E-2</v>
      </c>
      <c r="E13" s="229">
        <f t="shared" si="3"/>
        <v>0.18879112781468751</v>
      </c>
      <c r="F13" s="229">
        <f t="shared" si="3"/>
        <v>0.18282247259580942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234</v>
      </c>
      <c r="C14" s="230">
        <f>IF(C6="","",C9-C10-MAX(C11,0)-MAX(C12,0))</f>
        <v>3656853.6666666665</v>
      </c>
      <c r="D14" s="230">
        <f t="shared" ref="D14:M14" si="4">IF(D6="","",D9-D10-MAX(D11,0)-MAX(D12,0))</f>
        <v>3108179</v>
      </c>
      <c r="E14" s="230">
        <f t="shared" si="4"/>
        <v>5530358</v>
      </c>
      <c r="F14" s="230">
        <f t="shared" si="4"/>
        <v>4848341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243</v>
      </c>
      <c r="C15" s="232">
        <f>IF(D14="","",IF(ABS(C14+D14)=ABS(C14)+ABS(D14),IF(C14&lt;0,-1,1)*(C14-D14)/D14,"Turn"))</f>
        <v>0.17652608381520707</v>
      </c>
      <c r="D15" s="232">
        <f t="shared" ref="D15:M15" si="5">IF(E14="","",IF(ABS(D14+E14)=ABS(D14)+ABS(E14),IF(D14&lt;0,-1,1)*(D14-E14)/E14,"Turn"))</f>
        <v>-0.43797869866652395</v>
      </c>
      <c r="E15" s="232">
        <f t="shared" si="5"/>
        <v>0.14067017975839571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1">
        <f>IF(C6="","",C14-MAX(C16,0)-MAX(C17,0)-ABS(MAX(C21,0)-MAX(C19,0)))</f>
        <v>3268252.6666666665</v>
      </c>
      <c r="D22" s="161">
        <f t="shared" ref="D22:M22" si="8">IF(D6="","",D14-MAX(D16,0)-MAX(D17,0)-ABS(MAX(D21,0)-MAX(D19,0)))</f>
        <v>2842769</v>
      </c>
      <c r="E22" s="161">
        <f t="shared" si="8"/>
        <v>5530358</v>
      </c>
      <c r="F22" s="161">
        <f t="shared" si="8"/>
        <v>4848341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3">
        <f t="shared" ref="C23:M23" si="9">IF(C6="","",C24/C6)</f>
        <v>6.7297411465582019E-2</v>
      </c>
      <c r="D23" s="153">
        <f t="shared" si="9"/>
        <v>6.6537352606500719E-2</v>
      </c>
      <c r="E23" s="153">
        <f t="shared" si="9"/>
        <v>0.14159334586101566</v>
      </c>
      <c r="F23" s="153">
        <f t="shared" si="9"/>
        <v>0.13711685444685706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4">
        <f>IF(C6="","",C22*(1-Fin_Analysis!$I$84))</f>
        <v>2451189.5</v>
      </c>
      <c r="D24" s="77">
        <f>IF(D6="","",D22*(1-Fin_Analysis!$I$84))</f>
        <v>2132076.75</v>
      </c>
      <c r="E24" s="77">
        <f>IF(E6="","",E22*(1-Fin_Analysis!$I$84))</f>
        <v>4147768.5</v>
      </c>
      <c r="F24" s="77">
        <f>IF(F6="","",F22*(1-Fin_Analysis!$I$84))</f>
        <v>3636255.75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129</v>
      </c>
      <c r="C25" s="233">
        <f>IF(D24="","",IF(ABS(C24+D24)=ABS(C24)+ABS(D24),IF(C24&lt;0,-1,1)*(C24-D24)/D24,"Turn"))</f>
        <v>0.14967226203278094</v>
      </c>
      <c r="D25" s="233">
        <f t="shared" ref="D25:M25" si="10">IF(E24="","",IF(ABS(D24+E24)=ABS(D24)+ABS(E24),IF(D24&lt;0,-1,1)*(D24-E24)/E24,"Turn"))</f>
        <v>-0.48597016684995797</v>
      </c>
      <c r="E25" s="233">
        <f t="shared" si="10"/>
        <v>0.14067017975839571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>
        <f t="shared" si="34"/>
        <v>0.78124699699015421</v>
      </c>
      <c r="F42" s="156">
        <f t="shared" si="34"/>
        <v>0.75447069998924943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>
        <f t="shared" si="35"/>
        <v>2.9961875195158302E-2</v>
      </c>
      <c r="F43" s="153">
        <f t="shared" si="35"/>
        <v>6.2706827414941213E-2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3">
        <f>IF(C6="","",MAX(C12,0)/C6)</f>
        <v>7.3308514744086254E-3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3">
        <f t="shared" ref="C48:M48" si="40">IF(C6="","",C22/C6)</f>
        <v>8.9729881954109358E-2</v>
      </c>
      <c r="D48" s="153">
        <f t="shared" si="40"/>
        <v>8.8716470142000958E-2</v>
      </c>
      <c r="E48" s="153">
        <f t="shared" si="40"/>
        <v>0.18879112781468751</v>
      </c>
      <c r="F48" s="153">
        <f t="shared" si="40"/>
        <v>0.18282247259580942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123</v>
      </c>
      <c r="C55" s="153">
        <f t="shared" ref="C55:M55" si="45">IF(C22="","",IF(MAX(C17,0)&lt;=0,"-",C17/C22))</f>
        <v>0.11890176177729221</v>
      </c>
      <c r="D55" s="153">
        <f t="shared" si="45"/>
        <v>9.3363196235782792E-2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0" zoomScaleNormal="100" workbookViewId="0">
      <selection activeCell="D104" sqref="D10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15">
      <c r="B74" s="3" t="s">
        <v>127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15">
      <c r="B75" s="104" t="s">
        <v>106</v>
      </c>
      <c r="C75" s="77">
        <f>Data!C8</f>
        <v>28575291</v>
      </c>
      <c r="D75" s="159">
        <f>C75/$C$74</f>
        <v>0.78453465804081768</v>
      </c>
      <c r="E75" s="238">
        <f>Inputs!E92</f>
        <v>28575291</v>
      </c>
      <c r="F75" s="160">
        <f>E75/E74</f>
        <v>0.78453465804081768</v>
      </c>
      <c r="H75" s="238">
        <f>Inputs!F92</f>
        <v>28575291</v>
      </c>
      <c r="I75" s="160">
        <f>H75/$H$74</f>
        <v>0.78453465804081768</v>
      </c>
      <c r="K75" s="24"/>
    </row>
    <row r="76" spans="1:11" ht="15" customHeight="1" x14ac:dyDescent="0.15">
      <c r="B76" s="35" t="s">
        <v>96</v>
      </c>
      <c r="C76" s="161">
        <f>C74-C75</f>
        <v>7847945</v>
      </c>
      <c r="D76" s="210"/>
      <c r="E76" s="162">
        <f>E74-E75</f>
        <v>7847945</v>
      </c>
      <c r="F76" s="210"/>
      <c r="H76" s="162">
        <f>H74-H75</f>
        <v>7847945</v>
      </c>
      <c r="I76" s="210"/>
      <c r="K76" s="24"/>
    </row>
    <row r="77" spans="1:11" ht="15" customHeight="1" x14ac:dyDescent="0.15">
      <c r="B77" s="104" t="s">
        <v>248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15">
      <c r="B78" s="73" t="s">
        <v>173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15">
      <c r="B79" s="256" t="s">
        <v>233</v>
      </c>
      <c r="C79" s="257">
        <f>C76-C77-C78</f>
        <v>3656853.6666666665</v>
      </c>
      <c r="D79" s="258">
        <f>C79/C74</f>
        <v>0.10039892300252143</v>
      </c>
      <c r="E79" s="259">
        <f>E76-E77-E78</f>
        <v>3656853.666666666</v>
      </c>
      <c r="F79" s="258">
        <f>E79/E74</f>
        <v>0.10039892300252141</v>
      </c>
      <c r="G79" s="260"/>
      <c r="H79" s="259">
        <f>H76-H77-H78</f>
        <v>3656853.666666666</v>
      </c>
      <c r="I79" s="258">
        <f>H79/H74</f>
        <v>0.10039892300252141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15">
      <c r="B81" s="104" t="s">
        <v>258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2">
      <c r="B83" s="105" t="s">
        <v>126</v>
      </c>
      <c r="C83" s="163">
        <f>C79-C81-C82-C80</f>
        <v>3268252.6666666665</v>
      </c>
      <c r="D83" s="164">
        <f>C83/$C$74</f>
        <v>8.9729881954109358E-2</v>
      </c>
      <c r="E83" s="165">
        <f>E79-E81-E82-E80</f>
        <v>3268252.666666666</v>
      </c>
      <c r="F83" s="164">
        <f>E83/E74</f>
        <v>8.9729881954109345E-2</v>
      </c>
      <c r="H83" s="165">
        <f>H79-H81-H82-H80</f>
        <v>3268252.666666666</v>
      </c>
      <c r="I83" s="164">
        <f>H83/$H$74</f>
        <v>8.9729881954109345E-2</v>
      </c>
      <c r="K83" s="24"/>
    </row>
    <row r="84" spans="1:11" ht="15" customHeight="1" thickTop="1" x14ac:dyDescent="0.15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15">
      <c r="B85" s="263" t="s">
        <v>165</v>
      </c>
      <c r="C85" s="257">
        <f>C83*(1-I84)</f>
        <v>2451189.5</v>
      </c>
      <c r="D85" s="258">
        <f>C85/$C$74</f>
        <v>6.7297411465582019E-2</v>
      </c>
      <c r="E85" s="264">
        <f>E83*(1-F84)</f>
        <v>2451189.4999999995</v>
      </c>
      <c r="F85" s="258">
        <f>E85/E74</f>
        <v>6.7297411465582019E-2</v>
      </c>
      <c r="G85" s="260"/>
      <c r="H85" s="264">
        <f>H83*(1-I84)</f>
        <v>2451189.4999999995</v>
      </c>
      <c r="I85" s="258">
        <f>H85/$H$74</f>
        <v>6.7297411465582019E-2</v>
      </c>
      <c r="K85" s="24"/>
    </row>
    <row r="86" spans="1:11" ht="15" customHeight="1" x14ac:dyDescent="0.15">
      <c r="B86" s="87" t="s">
        <v>161</v>
      </c>
      <c r="C86" s="167">
        <f>C85*Data!C4/Common_Shares</f>
        <v>1.3729078055917701</v>
      </c>
      <c r="D86" s="209"/>
      <c r="E86" s="168">
        <f>E85*Data!C4/Common_Shares</f>
        <v>1.3729078055917698</v>
      </c>
      <c r="F86" s="209"/>
      <c r="H86" s="168">
        <f>H85*Data!C4/Common_Shares</f>
        <v>1.3729078055917698</v>
      </c>
      <c r="I86" s="209"/>
      <c r="K86" s="24"/>
    </row>
    <row r="87" spans="1:11" ht="15" customHeight="1" x14ac:dyDescent="0.15">
      <c r="B87" s="87" t="s">
        <v>209</v>
      </c>
      <c r="C87" s="261">
        <f>C86*Exchange_Rate/Dashboard!G3</f>
        <v>0.14557829231613253</v>
      </c>
      <c r="D87" s="209"/>
      <c r="E87" s="262">
        <f>E86*Exchange_Rate/Dashboard!G3</f>
        <v>0.14557829231613251</v>
      </c>
      <c r="F87" s="209"/>
      <c r="H87" s="262">
        <f>H86*Exchange_Rate/Dashboard!G3</f>
        <v>0.14557829231613251</v>
      </c>
      <c r="I87" s="209"/>
      <c r="K87" s="24"/>
    </row>
    <row r="88" spans="1:11" ht="15" customHeight="1" x14ac:dyDescent="0.15">
      <c r="B88" s="86" t="s">
        <v>208</v>
      </c>
      <c r="C88" s="169">
        <f>Inputs!C44</f>
        <v>0.84</v>
      </c>
      <c r="D88" s="166">
        <f>C88/C86</f>
        <v>0.61184006426267734</v>
      </c>
      <c r="E88" s="170">
        <f>Inputs!E98</f>
        <v>0.84</v>
      </c>
      <c r="F88" s="166">
        <f>E88/E86</f>
        <v>0.61184006426267745</v>
      </c>
      <c r="H88" s="170">
        <f>Inputs!F98</f>
        <v>0.84</v>
      </c>
      <c r="I88" s="166">
        <f>H88/H86</f>
        <v>0.61184006426267745</v>
      </c>
      <c r="K88" s="24"/>
    </row>
    <row r="89" spans="1:11" ht="15" customHeight="1" x14ac:dyDescent="0.15">
      <c r="B89" s="87" t="s">
        <v>222</v>
      </c>
      <c r="C89" s="261">
        <f>C88*Exchange_Rate/Dashboard!G3</f>
        <v>8.9070631725953364E-2</v>
      </c>
      <c r="D89" s="209"/>
      <c r="E89" s="261">
        <f>E88*Exchange_Rate/Dashboard!G3</f>
        <v>8.9070631725953364E-2</v>
      </c>
      <c r="F89" s="209"/>
      <c r="H89" s="261">
        <f>H88*Exchange_Rate/Dashboard!G3</f>
        <v>8.9070631725953364E-2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210</v>
      </c>
      <c r="F93" s="144">
        <f>FV(E87,D93,0,-(E86/(C93-D94)))*Exchange_Rate</f>
        <v>40.291123322275105</v>
      </c>
      <c r="H93" s="87" t="s">
        <v>210</v>
      </c>
      <c r="I93" s="144">
        <f>FV(H87,D93,0,-(H86/(C93-D94)))*Exchange_Rate</f>
        <v>40.291123322275105</v>
      </c>
      <c r="K93" s="24"/>
    </row>
    <row r="94" spans="1:11" ht="15" customHeight="1" x14ac:dyDescent="0.15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19.142719876054862</v>
      </c>
      <c r="H94" s="87" t="s">
        <v>211</v>
      </c>
      <c r="I94" s="144">
        <f>FV(H89,D93,0,-(H88/(C93-D94)))*Exchange_Rate</f>
        <v>19.142719876054862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35764790.662877411</v>
      </c>
      <c r="D97" s="213"/>
      <c r="E97" s="123">
        <f>PV(C94,D93,0,-F93)</f>
        <v>20.031809154869524</v>
      </c>
      <c r="F97" s="213"/>
      <c r="H97" s="123">
        <f>PV(C94,D93,0,-I93)</f>
        <v>20.031809154869524</v>
      </c>
      <c r="I97" s="123">
        <f>PV(C93,D93,0,-I93)</f>
        <v>25.947539628710889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15">
      <c r="B100" s="1" t="s">
        <v>115</v>
      </c>
      <c r="C100" s="91">
        <f>C97-C98+$C$99</f>
        <v>35764790.662877411</v>
      </c>
      <c r="D100" s="109">
        <f>MIN(F100*(1-C94),E100)</f>
        <v>17.027037781639095</v>
      </c>
      <c r="E100" s="109">
        <f>MAX(E97-H98+E99,0)</f>
        <v>20.031809154869524</v>
      </c>
      <c r="F100" s="109">
        <f>(E100+H100)/2</f>
        <v>20.031809154869524</v>
      </c>
      <c r="H100" s="109">
        <f>MAX(C100*Data!$C$4/Common_Shares,0)</f>
        <v>20.031809154869524</v>
      </c>
      <c r="I100" s="109">
        <f>MAX(I97-H98+H99,0)</f>
        <v>25.947539628710889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16992213.486058388</v>
      </c>
      <c r="D103" s="109">
        <f>MIN(F103*(1-C94),E103)</f>
        <v>8.0897177268006448</v>
      </c>
      <c r="E103" s="123">
        <f>PV(C94,D93,0,-F94)</f>
        <v>9.5173149727066413</v>
      </c>
      <c r="F103" s="109">
        <f>(E103+H103)/2</f>
        <v>9.5173149727066413</v>
      </c>
      <c r="H103" s="123">
        <f>PV(C94,D93,0,-I94)</f>
        <v>9.5173149727066413</v>
      </c>
      <c r="I103" s="109">
        <f>PV(C93,D93,0,-I94)</f>
        <v>12.32793830572202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26378502.074467894</v>
      </c>
      <c r="D106" s="109">
        <f>(D100+D103)/2</f>
        <v>12.558377754219869</v>
      </c>
      <c r="E106" s="123">
        <f>(E100+E103)/2</f>
        <v>14.774562063788082</v>
      </c>
      <c r="F106" s="109">
        <f>(F100+F103)/2</f>
        <v>14.774562063788082</v>
      </c>
      <c r="H106" s="123">
        <f>(H100+H103)/2</f>
        <v>14.774562063788082</v>
      </c>
      <c r="I106" s="123">
        <f>(I100+I103)/2</f>
        <v>19.137738967216453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">
        <v>267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2024-12-08T04:08:46Z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