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01F8FE-79B2-459C-B180-516491C569A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<sst xmlns="http://schemas.openxmlformats.org/spreadsheetml/2006/main" count="390" uniqueCount="267">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</sst>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263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7655673083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0300.HK</v>
      </c>
      <c r="D3" s="277"/>
      <c r="E3" s="87"/>
      <c r="F3" s="3" t="s">
        <v>1</v>
      </c>
      <c r="G3" s="132">
        <v>70.8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美的集團</v>
      </c>
      <c r="D4" s="279"/>
      <c r="E4" s="87"/>
      <c r="F4" s="3" t="s">
        <v>2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542021.65427639999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0.73672180139004328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9.0252248239117653E-3</v>
      </c>
      <c r="F24" s="140" t="s">
        <v>261</v>
      </c>
      <c r="G24" s="269">
        <f>G3/(Fin_Analysis!H86*G7)</f>
        <v>21.366086078037313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8.4396594173019507E-2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259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24.44728316653088</v>
      </c>
      <c r="D29" s="129">
        <f>G29*(1+G20)</f>
        <v>46.992093413748108</v>
      </c>
      <c r="E29" s="87"/>
      <c r="F29" s="131">
        <f>IF(Fin_Analysis!C108="Profit",Fin_Analysis!F100,IF(Fin_Analysis!C108="Dividend",Fin_Analysis!F103,Fin_Analysis!F106))</f>
        <v>28.76150960768339</v>
      </c>
      <c r="G29" s="273">
        <f>IF(Fin_Analysis!C108="Profit",Fin_Analysis!I100,IF(Fin_Analysis!C108="Dividend",Fin_Analysis!I103,Fin_Analysis!I106))</f>
        <v>40.862689924998357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95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232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160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4.6803143839616125E-2</v>
      </c>
      <c r="D87" s="210"/>
      <c r="E87" s="263">
        <f>E86*Exchange_Rate/Dashboard!G3</f>
        <v>4.6803143839616125E-2</v>
      </c>
      <c r="F87" s="210"/>
      <c r="H87" s="263">
        <f>H86*Exchange_Rate/Dashboard!G3</f>
        <v>4.6803143839616125E-2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57.849669072764272</v>
      </c>
      <c r="H93" s="87" t="s">
        <v>209</v>
      </c>
      <c r="I93" s="144">
        <f>FV(H87,D93,0,-(H86/C93))*Exchange_Rate</f>
        <v>57.849669072764272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220188714.92998761</v>
      </c>
      <c r="D97" s="214"/>
      <c r="E97" s="123">
        <f>PV(C94,D93,0,-F93)</f>
        <v>28.76150960768339</v>
      </c>
      <c r="F97" s="214"/>
      <c r="H97" s="123">
        <f>PV(C94,D93,0,-I93)</f>
        <v>28.76150960768339</v>
      </c>
      <c r="I97" s="123">
        <f>PV(C93,D93,0,-I93)</f>
        <v>40.862689924998357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220188714.92998761</v>
      </c>
      <c r="D100" s="109">
        <f>MIN(F100*(1-C94),E100)</f>
        <v>24.44728316653088</v>
      </c>
      <c r="E100" s="109">
        <f>MAX(E97-H98+E99,0)</f>
        <v>28.76150960768339</v>
      </c>
      <c r="F100" s="109">
        <f>(E100+H100)/2</f>
        <v>28.76150960768339</v>
      </c>
      <c r="H100" s="109">
        <f>MAX(C100*Data!$C$4/Common_Shares,0)</f>
        <v>28.76150960768339</v>
      </c>
      <c r="I100" s="109">
        <f>MAX(I97-H98+H99,0)</f>
        <v>40.862689924998357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110094357.4649938</v>
      </c>
      <c r="D106" s="109">
        <f>(D100+D103)/2</f>
        <v>12.22364158326544</v>
      </c>
      <c r="E106" s="123">
        <f>(E100+E103)/2</f>
        <v>14.380754803841695</v>
      </c>
      <c r="F106" s="109">
        <f>(F100+F103)/2</f>
        <v>14.380754803841695</v>
      </c>
      <c r="H106" s="123">
        <f>(H100+H103)/2</f>
        <v>14.380754803841695</v>
      </c>
      <c r="I106" s="123">
        <f>(I100+I103)/2</f>
        <v>20.431344962499178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