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B3860E5-6255-46FD-8696-20A9A5E3E4B6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47" i="4" l="1"/>
  <c r="C49" i="3"/>
  <c r="H56" i="2"/>
  <c r="I56" i="2"/>
  <c r="J56" i="2"/>
  <c r="K56" i="2"/>
  <c r="L56" i="2"/>
  <c r="M56" i="2"/>
  <c r="D4" i="3"/>
  <c r="D3" i="3"/>
  <c r="I49" i="3"/>
  <c r="I48" i="3" s="1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<sst xmlns="http://schemas.openxmlformats.org/spreadsheetml/2006/main" count="391" uniqueCount="273">
  <si>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</si>
  <si>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</si>
  <si>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</si>
  <si>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</si>
  <si>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</si>
  <si>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</si>
  <si>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</si>
  <si>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</si>
  <si>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</si>
  <si>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</si>
  <si>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</si>
  <si>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</si>
  <si>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</si>
  <si>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</si>
  <si>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</si>
  <si>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</si>
  <si>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</si>
  <si>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</si>
  <si>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</si>
  <si>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</si>
  <si>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</si>
  <si>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</si>
  <si>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</si>
  <si>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</si>
  <si>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</si>
  <si>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</si>
  <si>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</si>
  <si>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</si>
  <si>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</si>
  <si>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</si>
  <si>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</si>
  <si>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</si>
  <si>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</si>
  <si>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</si>
  <si>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</si>
  <si>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</si>
  <si>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</si>
  <si>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</si>
  <si>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</si>
  <si>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</si>
  <si>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</si>
  <si>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</si>
  <si>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</si>
  <si>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</si>
  <si>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</si>
  <si>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</si>
  <si>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</si>
  <si>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</si>
  <si>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</si>
  <si>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</si>
  <si>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</si>
  <si>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</si>
  <si>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</si>
  <si>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</si>
  <si>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</si>
  <si>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</si>
  <si>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</si>
  <si>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</si>
  <si>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</si>
  <si>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</si>
  <si>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</si>
  <si>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</si>
  <si>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</si>
  <si>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</si>
  <si>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</si>
  <si>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</si>
  <si>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</si>
  <si>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</si>
  <si>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</si>
  <si>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</si>
  <si>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</si>
  <si>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</si>
  <si>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</si>
  <si>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</si>
  <si>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</si>
  <si>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</si>
  <si>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</si>
  <si>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</si>
  <si>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</si>
  <si>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</si>
  <si>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</si>
  <si>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</si>
  <si>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</si>
  <si>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</si>
  <si>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</si>
  <si>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</si>
  <si>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</si>
  <si>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</si>
  <si>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</si>
  <si>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</si>
  <si>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</si>
  <si>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</si>
  <si>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</si>
  <si>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</si>
  <si>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</si>
  <si>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</si>
  <si>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</si>
  <si>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</si>
  <si>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</si>
  <si>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</si>
  <si>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</si>
  <si>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</si>
  <si>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</si>
  <si>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</si>
  <si>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</si>
  <si>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</si>
  <si>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</si>
  <si>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</si>
  <si>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</si>
  <si>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</si>
  <si>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</si>
  <si>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</si>
  <si>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</si>
  <si>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</si>
  <si>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</si>
  <si>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</si>
  <si>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</si>
  <si>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</si>
  <si>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</si>
  <si>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</si>
  <si>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</si>
  <si>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</si>
  <si>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</si>
  <si>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</si>
  <si>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</si>
  <si>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</si>
  <si>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</si>
  <si>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</si>
  <si>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</si>
  <si>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</si>
  <si>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</si>
  <si>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</si>
  <si>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</si>
  <si>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</si>
  <si>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</si>
  <si>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</si>
  <si>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</si>
  <si>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</si>
  <si>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</si>
  <si>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</si>
  <si>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</si>
  <si>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</si>
  <si>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</si>
  <si>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</si>
  <si>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</si>
  <si>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</si>
  <si>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</si>
  <si>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</si>
  <si>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</si>
  <si>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</si>
  <si>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</si>
  <si>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</si>
  <si>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</si>
  <si>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</si>
  <si>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</si>
  <si>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</si>
  <si>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</si>
  <si>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</si>
  <si>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</si>
  <si>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</si>
  <si>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</si>
  <si>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</si>
  <si>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</si>
  <si>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</si>
  <si>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</si>
  <si>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</si>
  <si>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</si>
  <si>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</si>
  <si>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</si>
  <si>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</si>
  <si>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</si>
  <si>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</si>
  <si>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</si>
  <si>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</si>
  <si>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</si>
  <si>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</si>
  <si>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</si>
  <si>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</si>
  <si>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</si>
  <si>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</si>
  <si>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</si>
  <si>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</si>
  <si>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</si>
  <si>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</si>
  <si>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</si>
  <si>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</si>
  <si>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</si>
  <si>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</si>
  <si>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</si>
  <si>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</si>
  <si>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</si>
  <si>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</si>
  <si>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</si>
  <si>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</si>
  <si>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</si>
  <si>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</si>
  <si>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</si>
  <si>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</si>
  <si>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</si>
  <si>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</si>
  <si>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</si>
  <si>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</si>
  <si>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</si>
  <si>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</si>
  <si>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</si>
  <si>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</si>
  <si>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</si>
  <si>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</si>
  <si>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</si>
  <si>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</si>
  <si>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</si>
  <si>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</si>
  <si>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</si>
  <si>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</si>
  <si>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</si>
  <si>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</si>
  <si>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</si>
  <si>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</si>
  <si>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</si>
  <si>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</si>
  <si>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</si>
  <si>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</si>
  <si>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</si>
  <si>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</si>
  <si>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</si>
  <si>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</si>
  <si>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</si>
  <si>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</si>
  <si>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</si>
  <si>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</si>
  <si>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</si>
  <si>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</si>
  <si>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</si>
  <si>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</si>
  <si>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</si>
  <si>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</si>
  <si>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</si>
  <si>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</si>
  <si>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</si>
  <si>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</si>
  <si>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</si>
  <si>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</si>
  <si>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</si>
  <si>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</si>
  <si>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</si>
  <si>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</si>
  <si>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</si>
  <si>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</si>
  <si>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</si>
  <si>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</si>
  <si>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</si>
  <si>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</si>
  <si>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</si>
  <si>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</si>
  <si>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</si>
  <si>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</si>
  <si>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</si>
  <si>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</si>
  <si>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</si>
  <si>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</si>
  <si>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</si>
  <si>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</si>
  <si>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</si>
  <si>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</si>
  <si>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</si>
  <si>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</si>
  <si>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</si>
  <si>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</si>
  <si>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9618.HK</t>
    <phoneticPr fontId="20" type="noConversion"/>
  </si>
  <si>
    <t>C0009</t>
    <phoneticPr fontId="20" type="noConversion"/>
  </si>
  <si>
    <t>CNY</t>
    <phoneticPr fontId="20" type="noConversion"/>
  </si>
  <si>
    <t>HKD</t>
    <phoneticPr fontId="20" type="noConversion"/>
  </si>
  <si>
    <r>
      <rPr>
        <sz val="11"/>
        <color rgb="FF0000FF"/>
        <rFont val="DengXian"/>
        <family val="1"/>
        <charset val="134"/>
      </rPr>
      <t>京东</t>
    </r>
    <r>
      <rPr>
        <sz val="11"/>
        <color rgb="FF0000FF"/>
        <rFont val="Times New Roman"/>
        <family val="1"/>
      </rPr>
      <t>-SW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</si>
</sst>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1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DengXian"/>
      <family val="1"/>
      <charset val="134"/>
    </font>
    <font>
      <sz val="11"/>
      <color rgb="FF0000FF"/>
      <name val="Times New Rom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30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11" zoomScaleNormal="100" workbookViewId="0">
      <selection activeCell="D35" sqref="D3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298" t="s">
        <v>272</v>
      </c>
    </row>
    <row r="6" spans="1:5" ht="13.9" x14ac:dyDescent="0.4">
      <c r="B6" s="139" t="s">
        <v>154</v>
      </c>
      <c r="C6" s="186">
        <v>45643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2899000064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1084662</v>
      </c>
      <c r="D25" s="147">
        <v>1046236</v>
      </c>
      <c r="E25" s="147">
        <v>951592</v>
      </c>
      <c r="F25" s="147">
        <v>745802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924958</v>
      </c>
      <c r="D26" s="148">
        <v>899163</v>
      </c>
      <c r="E26" s="148">
        <v>822526</v>
      </c>
      <c r="F26" s="148">
        <v>636694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49843</v>
      </c>
      <c r="D27" s="148">
        <v>48825</v>
      </c>
      <c r="E27" s="148">
        <v>50305</v>
      </c>
      <c r="F27" s="148">
        <v>33565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332578</v>
      </c>
      <c r="D37" s="148">
        <v>321127</v>
      </c>
      <c r="E37" s="148">
        <v>249723</v>
      </c>
      <c r="F37" s="148">
        <v>200669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296380</v>
      </c>
      <c r="D41" s="148">
        <v>274123</v>
      </c>
      <c r="E41" s="148">
        <v>246784</v>
      </c>
      <c r="F41" s="148">
        <v>221619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64522</v>
      </c>
      <c r="D42" s="148">
        <v>60757</v>
      </c>
      <c r="E42" s="148">
        <v>37873</v>
      </c>
      <c r="F42" s="148">
        <v>34076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2.3252845295556366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1.7463617104518124E-2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1084662</v>
      </c>
      <c r="D91" s="204"/>
      <c r="E91" s="246">
        <f>C91</f>
        <v>1084662</v>
      </c>
      <c r="F91" s="246">
        <f>C91</f>
        <v>1084662</v>
      </c>
    </row>
    <row r="92" spans="2:8" ht="13.9" x14ac:dyDescent="0.4">
      <c r="B92" s="103" t="s">
        <v>101</v>
      </c>
      <c r="C92" s="77">
        <f>C26</f>
        <v>924958</v>
      </c>
      <c r="D92" s="156">
        <f>C92/C91</f>
        <v>0.85276150542749718</v>
      </c>
      <c r="E92" s="247">
        <f>E91*D92</f>
        <v>924958</v>
      </c>
      <c r="F92" s="247">
        <f>F91*D92</f>
        <v>924958</v>
      </c>
    </row>
    <row r="93" spans="2:8" ht="13.9" x14ac:dyDescent="0.4">
      <c r="B93" s="103" t="s">
        <v>229</v>
      </c>
      <c r="C93" s="77">
        <f>C27+C28</f>
        <v>49843</v>
      </c>
      <c r="D93" s="156">
        <f>C93/C91</f>
        <v>4.595256402455327E-2</v>
      </c>
      <c r="E93" s="247">
        <f>E91*D93</f>
        <v>49843</v>
      </c>
      <c r="F93" s="247">
        <f>F91*D93</f>
        <v>49843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2.3252845295556366</v>
      </c>
      <c r="D98" s="261"/>
      <c r="E98" s="249">
        <f>F98</f>
        <v>2.3252845295556366</v>
      </c>
      <c r="F98" s="249">
        <f>C98</f>
        <v>2.3252845295556366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9618.HK : 京东-SW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9618.HK</v>
      </c>
      <c r="D3" s="289"/>
      <c r="E3" s="86"/>
      <c r="F3" s="3" t="s">
        <v>1</v>
      </c>
      <c r="G3" s="130">
        <v>142.19999999999999</v>
      </c>
      <c r="H3" s="132" t="s">
        <v>271</v>
      </c>
    </row>
    <row r="4" spans="1:10" ht="15.75" customHeight="1" x14ac:dyDescent="0.4">
      <c r="B4" s="35" t="s">
        <v>180</v>
      </c>
      <c r="C4" s="290" t="str">
        <f>Inputs!C5</f>
        <v>京东-SW</v>
      </c>
      <c r="D4" s="291"/>
      <c r="E4" s="86"/>
      <c r="F4" s="3" t="s">
        <v>2</v>
      </c>
      <c r="G4" s="294">
        <f>Inputs!C10</f>
        <v>2899000064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45643</v>
      </c>
      <c r="D5" s="293"/>
      <c r="E5" s="34"/>
      <c r="F5" s="35" t="s">
        <v>95</v>
      </c>
      <c r="G5" s="286">
        <f>G3*G4/1000000</f>
        <v>412237.80910079996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C23*C22*(1/C21)</f>
        <v>0.47382880901241281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>
        <f>Data!C53</f>
        <v>0.36863828745321625</v>
      </c>
      <c r="F21" s="86"/>
      <c r="G21" s="29"/>
    </row>
    <row r="22" spans="1:8" ht="15.75" customHeight="1" x14ac:dyDescent="0.4">
      <c r="B22" s="274" t="s">
        <v>262</v>
      </c>
      <c r="C22" s="275">
        <f>Data!C48</f>
        <v>1.7245380454656749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0.1012859305479495</v>
      </c>
      <c r="F23" s="138" t="s">
        <v>174</v>
      </c>
      <c r="G23" s="174">
        <f>G3/(Data!C34*Data!C4/Common_Shares*Exchange_Rate)</f>
        <v>1.3023905389609911</v>
      </c>
    </row>
    <row r="24" spans="1:8" ht="15.75" customHeight="1" x14ac:dyDescent="0.4">
      <c r="B24" s="135" t="s">
        <v>256</v>
      </c>
      <c r="C24" s="168">
        <f>Fin_Analysis!I81</f>
        <v>0</v>
      </c>
      <c r="F24" s="138" t="s">
        <v>240</v>
      </c>
      <c r="G24" s="263">
        <f>G3/(Fin_Analysis!H86*G7)</f>
        <v>4.684738083423702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8.1812472123865623E-2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1.7463617104518124E-2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483.11578474746119</v>
      </c>
      <c r="D29" s="127">
        <f>G29*(1+G20)</f>
        <v>881.04836566161532</v>
      </c>
      <c r="E29" s="86"/>
      <c r="F29" s="129">
        <f>IF(Fin_Analysis!C108="Profit",Fin_Analysis!F100,IF(Fin_Analysis!C108="Dividend",Fin_Analysis!F103,Fin_Analysis!F106))</f>
        <v>568.37151146760141</v>
      </c>
      <c r="G29" s="285">
        <f>IF(Fin_Analysis!C108="Profit",Fin_Analysis!I100,IF(Fin_Analysis!C108="Dividend",Fin_Analysis!I103,Fin_Analysis!I106))</f>
        <v>766.12901361879597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109861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1084662</v>
      </c>
      <c r="D6" s="197">
        <f>IF(Inputs!D25="","",Inputs!D25)</f>
        <v>1046236</v>
      </c>
      <c r="E6" s="197">
        <f>IF(Inputs!E25="","",Inputs!E25)</f>
        <v>951592</v>
      </c>
      <c r="F6" s="197">
        <f>IF(Inputs!F25="","",Inputs!F25)</f>
        <v>745802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3.6727851077577034E-2</v>
      </c>
      <c r="D7" s="91">
        <f t="shared" si="1"/>
        <v>9.945859149719638E-2</v>
      </c>
      <c r="E7" s="91">
        <f t="shared" si="1"/>
        <v>0.27593114526375628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924958</v>
      </c>
      <c r="D8" s="196">
        <f>IF(Inputs!D26="","",Inputs!D26)</f>
        <v>899163</v>
      </c>
      <c r="E8" s="196">
        <f>IF(Inputs!E26="","",Inputs!E26)</f>
        <v>822526</v>
      </c>
      <c r="F8" s="196">
        <f>IF(Inputs!F26="","",Inputs!F26)</f>
        <v>636694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159704</v>
      </c>
      <c r="D9" s="149">
        <f t="shared" si="2"/>
        <v>147073</v>
      </c>
      <c r="E9" s="149">
        <f t="shared" si="2"/>
        <v>129066</v>
      </c>
      <c r="F9" s="149">
        <f t="shared" si="2"/>
        <v>109108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49843</v>
      </c>
      <c r="D10" s="196">
        <f>IF(Inputs!D27="","",Inputs!D27)</f>
        <v>48825</v>
      </c>
      <c r="E10" s="196">
        <f>IF(Inputs!E27="","",Inputs!E27)</f>
        <v>50305</v>
      </c>
      <c r="F10" s="196">
        <f>IF(Inputs!F27="","",Inputs!F27)</f>
        <v>33565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0.1012859305479495</v>
      </c>
      <c r="D13" s="224">
        <f t="shared" si="3"/>
        <v>9.3906155016650159E-2</v>
      </c>
      <c r="E13" s="224">
        <f t="shared" si="3"/>
        <v>8.2767614692010869E-2</v>
      </c>
      <c r="F13" s="224">
        <f t="shared" si="3"/>
        <v>0.10129095926264611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109861</v>
      </c>
      <c r="D14" s="225">
        <f t="shared" ref="D14:M14" si="4">IF(D6="","",D9-D10-MAX(D11,0)-MAX(D12,0))</f>
        <v>98248</v>
      </c>
      <c r="E14" s="225">
        <f t="shared" si="4"/>
        <v>78761</v>
      </c>
      <c r="F14" s="225">
        <f t="shared" si="4"/>
        <v>75543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0.1182008794072144</v>
      </c>
      <c r="D15" s="227">
        <f t="shared" ref="D15:M15" si="5">IF(E14="","",IF(ABS(D14+E14)=ABS(D14)+ABS(E14),IF(D14&lt;0,-1,1)*(D14-E14)/E14,"Turn"))</f>
        <v>0.24741940808268051</v>
      </c>
      <c r="E15" s="227">
        <f t="shared" si="5"/>
        <v>4.2598255298306922E-2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109861</v>
      </c>
      <c r="D22" s="158">
        <f t="shared" ref="D22:M22" si="8">IF(D6="","",D14-MAX(D16,0)-MAX(D17,0)-ABS(MAX(D21,0)-MAX(D19,0)))</f>
        <v>98248</v>
      </c>
      <c r="E22" s="158">
        <f t="shared" si="8"/>
        <v>78761</v>
      </c>
      <c r="F22" s="158">
        <f t="shared" si="8"/>
        <v>75543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7.596444791096213E-2</v>
      </c>
      <c r="D23" s="151">
        <f t="shared" si="9"/>
        <v>7.0429616262487615E-2</v>
      </c>
      <c r="E23" s="151">
        <f t="shared" si="9"/>
        <v>6.2075711019008148E-2</v>
      </c>
      <c r="F23" s="151">
        <f t="shared" si="9"/>
        <v>7.5968219446984592E-2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82395.75</v>
      </c>
      <c r="D24" s="77">
        <f>IF(D6="","",D22*(1-Fin_Analysis!$I$84))</f>
        <v>73686</v>
      </c>
      <c r="E24" s="77">
        <f>IF(E6="","",E22*(1-Fin_Analysis!$I$84))</f>
        <v>59070.75</v>
      </c>
      <c r="F24" s="77">
        <f>IF(F6="","",F22*(1-Fin_Analysis!$I$84))</f>
        <v>56657.25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0.1182008794072144</v>
      </c>
      <c r="D25" s="228">
        <f t="shared" ref="D25:M25" si="10">IF(E24="","",IF(ABS(D24+E24)=ABS(D24)+ABS(E24),IF(D24&lt;0,-1,1)*(D24-E24)/E24,"Turn"))</f>
        <v>0.24741940808268051</v>
      </c>
      <c r="E25" s="228">
        <f t="shared" si="10"/>
        <v>4.2598255298306922E-2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628958</v>
      </c>
      <c r="D27" s="65">
        <f>IF(D34="","",D34+D30)</f>
        <v>595250</v>
      </c>
      <c r="E27" s="65">
        <f t="shared" ref="E27:M27" si="20">IF(E34="","",E34+E30)</f>
        <v>496507</v>
      </c>
      <c r="F27" s="65">
        <f t="shared" si="20"/>
        <v>422288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332578</v>
      </c>
      <c r="D30" s="196">
        <f>IF(Inputs!D37="","",Inputs!D37)</f>
        <v>321127</v>
      </c>
      <c r="E30" s="196">
        <f>IF(Inputs!E37="","",Inputs!E37)</f>
        <v>249723</v>
      </c>
      <c r="F30" s="196">
        <f>IF(Inputs!F37="","",Inputs!F37)</f>
        <v>200669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296380</v>
      </c>
      <c r="D34" s="196">
        <f>IF(Inputs!D41="","",Inputs!D41)</f>
        <v>274123</v>
      </c>
      <c r="E34" s="196">
        <f>IF(Inputs!E41="","",Inputs!E41)</f>
        <v>246784</v>
      </c>
      <c r="F34" s="196">
        <f>IF(Inputs!F41="","",Inputs!F41)</f>
        <v>221619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64522</v>
      </c>
      <c r="D35" s="196">
        <f>IF(Inputs!D42="","",Inputs!D42)</f>
        <v>60757</v>
      </c>
      <c r="E35" s="196">
        <f>IF(Inputs!E42="","",Inputs!E42)</f>
        <v>37873</v>
      </c>
      <c r="F35" s="196">
        <f>IF(Inputs!F42="","",Inputs!F42)</f>
        <v>34076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628958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0.17467144070033294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0.85276150542749718</v>
      </c>
      <c r="D40" s="154">
        <f t="shared" si="34"/>
        <v>0.85942655385591782</v>
      </c>
      <c r="E40" s="154">
        <f t="shared" si="34"/>
        <v>0.86436834273512175</v>
      </c>
      <c r="F40" s="154">
        <f t="shared" si="34"/>
        <v>0.85370379805900221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4.595256402455327E-2</v>
      </c>
      <c r="D41" s="151">
        <f t="shared" si="35"/>
        <v>4.6667291127432051E-2</v>
      </c>
      <c r="E41" s="151">
        <f t="shared" si="35"/>
        <v>5.2864042572867365E-2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0.1012859305479495</v>
      </c>
      <c r="D46" s="151">
        <f t="shared" si="40"/>
        <v>9.3906155016650159E-2</v>
      </c>
      <c r="E46" s="151">
        <f t="shared" si="40"/>
        <v>8.2767614692010869E-2</v>
      </c>
      <c r="F46" s="151">
        <f t="shared" si="40"/>
        <v>0.10129095926264611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1.7245380454656749</v>
      </c>
      <c r="D48" s="267">
        <f t="shared" si="41"/>
        <v>1.7576413271734566</v>
      </c>
      <c r="E48" s="267">
        <f t="shared" si="41"/>
        <v>1.9165731802371366</v>
      </c>
      <c r="F48" s="267">
        <f t="shared" si="41"/>
        <v>1.7660980184139734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0.36863828745321625</v>
      </c>
      <c r="D53" s="154">
        <f t="shared" si="45"/>
        <v>0.3584477110457791</v>
      </c>
      <c r="E53" s="154">
        <f t="shared" si="45"/>
        <v>0.4207614394157585</v>
      </c>
      <c r="F53" s="154">
        <f t="shared" si="45"/>
        <v>0.44411160156101998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0.47382880901241275</v>
      </c>
      <c r="D58" s="269">
        <f t="shared" si="49"/>
        <v>0.46046699099200433</v>
      </c>
      <c r="E58" s="269">
        <f t="shared" si="49"/>
        <v>0.37700743378759377</v>
      </c>
      <c r="F58" s="269">
        <f t="shared" si="49"/>
        <v>0.40280362370229761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0.47382880901241275</v>
      </c>
      <c r="D59" s="269">
        <f t="shared" si="50"/>
        <v>0.46046699099200433</v>
      </c>
      <c r="E59" s="269">
        <f t="shared" si="50"/>
        <v>0.37700743378759377</v>
      </c>
      <c r="F59" s="269">
        <f t="shared" si="50"/>
        <v>0.40280362370229761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296380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231858</v>
      </c>
      <c r="K3" s="24"/>
    </row>
    <row r="4" spans="1:11" ht="15" customHeight="1" x14ac:dyDescent="0.4">
      <c r="B4" s="3" t="s">
        <v>22</v>
      </c>
      <c r="C4" s="86"/>
      <c r="D4" s="196">
        <f>Inputs!C42</f>
        <v>64522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-416610.84235484106</v>
      </c>
      <c r="E6" s="56">
        <f>1-D6/D3</f>
        <v>2.405664492728393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332578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332578</v>
      </c>
      <c r="J48" s="8"/>
    </row>
    <row r="49" spans="2:11" ht="15" customHeight="1" thickTop="1" x14ac:dyDescent="0.4">
      <c r="B49" s="3" t="s">
        <v>13</v>
      </c>
      <c r="C49" s="61">
        <f>Inputs!C41+Inputs!C37</f>
        <v>628958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332578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64522</v>
      </c>
      <c r="D53" s="29">
        <f>IF(E53=0, 0,E53/C53)</f>
        <v>1.3023905389609911</v>
      </c>
      <c r="E53" s="87">
        <f>IF(C53=0,0,MAX(C53,C53*Dashboard!G23))</f>
        <v>84032.842354841065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628958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332578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296380</v>
      </c>
      <c r="D70" s="29">
        <f t="shared" si="2"/>
        <v>-1.1221337472164115</v>
      </c>
      <c r="E70" s="68">
        <f>E68-E69</f>
        <v>-332578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1084662</v>
      </c>
      <c r="D74" s="204"/>
      <c r="E74" s="233">
        <f>Inputs!E91</f>
        <v>1084662</v>
      </c>
      <c r="F74" s="204"/>
      <c r="H74" s="233">
        <f>Inputs!F91</f>
        <v>1084662</v>
      </c>
      <c r="I74" s="204"/>
      <c r="K74" s="24"/>
    </row>
    <row r="75" spans="1:11" ht="15" customHeight="1" x14ac:dyDescent="0.4">
      <c r="B75" s="103" t="s">
        <v>101</v>
      </c>
      <c r="C75" s="77">
        <f>Data!C8</f>
        <v>924958</v>
      </c>
      <c r="D75" s="156">
        <f>C75/$C$74</f>
        <v>0.85276150542749718</v>
      </c>
      <c r="E75" s="233">
        <f>Inputs!E92</f>
        <v>924958</v>
      </c>
      <c r="F75" s="157">
        <f>E75/E74</f>
        <v>0.85276150542749718</v>
      </c>
      <c r="H75" s="233">
        <f>Inputs!F92</f>
        <v>924958</v>
      </c>
      <c r="I75" s="157">
        <f>H75/$H$74</f>
        <v>0.85276150542749718</v>
      </c>
      <c r="K75" s="24"/>
    </row>
    <row r="76" spans="1:11" ht="15" customHeight="1" x14ac:dyDescent="0.4">
      <c r="B76" s="35" t="s">
        <v>91</v>
      </c>
      <c r="C76" s="158">
        <f>C74-C75</f>
        <v>159704</v>
      </c>
      <c r="D76" s="205"/>
      <c r="E76" s="159">
        <f>E74-E75</f>
        <v>159704</v>
      </c>
      <c r="F76" s="205"/>
      <c r="H76" s="159">
        <f>H74-H75</f>
        <v>159704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49843</v>
      </c>
      <c r="D77" s="156">
        <f>C77/$C$74</f>
        <v>4.595256402455327E-2</v>
      </c>
      <c r="E77" s="233">
        <f>Inputs!E93</f>
        <v>49843</v>
      </c>
      <c r="F77" s="157">
        <f>E77/E74</f>
        <v>4.595256402455327E-2</v>
      </c>
      <c r="H77" s="233">
        <f>Inputs!F93</f>
        <v>49843</v>
      </c>
      <c r="I77" s="157">
        <f>H77/$H$74</f>
        <v>4.595256402455327E-2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109861</v>
      </c>
      <c r="D79" s="253">
        <f>C79/C74</f>
        <v>0.1012859305479495</v>
      </c>
      <c r="E79" s="254">
        <f>E76-E77-E78</f>
        <v>109861</v>
      </c>
      <c r="F79" s="253">
        <f>E79/E74</f>
        <v>0.1012859305479495</v>
      </c>
      <c r="G79" s="255"/>
      <c r="H79" s="254">
        <f>H76-H77-H78</f>
        <v>109861</v>
      </c>
      <c r="I79" s="253">
        <f>H79/H74</f>
        <v>0.1012859305479495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109861</v>
      </c>
      <c r="D83" s="161">
        <f>C83/$C$74</f>
        <v>0.1012859305479495</v>
      </c>
      <c r="E83" s="162">
        <f>E79-E81-E82-E80</f>
        <v>109861</v>
      </c>
      <c r="F83" s="161">
        <f>E83/E74</f>
        <v>0.1012859305479495</v>
      </c>
      <c r="H83" s="162">
        <f>H79-H81-H82-H80</f>
        <v>109861</v>
      </c>
      <c r="I83" s="161">
        <f>H83/$H$74</f>
        <v>0.1012859305479495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82395.75</v>
      </c>
      <c r="D85" s="253">
        <f>C85/$C$74</f>
        <v>7.596444791096213E-2</v>
      </c>
      <c r="E85" s="259">
        <f>E83*(1-F84)</f>
        <v>82395.75</v>
      </c>
      <c r="F85" s="253">
        <f>E85/E74</f>
        <v>7.596444791096213E-2</v>
      </c>
      <c r="G85" s="255"/>
      <c r="H85" s="259">
        <f>H83*(1-I84)</f>
        <v>82395.75</v>
      </c>
      <c r="I85" s="253">
        <f>H85/$H$74</f>
        <v>7.596444791096213E-2</v>
      </c>
      <c r="K85" s="24"/>
    </row>
    <row r="86" spans="1:11" ht="15" customHeight="1" x14ac:dyDescent="0.4">
      <c r="B86" s="86" t="s">
        <v>151</v>
      </c>
      <c r="C86" s="164">
        <f>C85*Data!C4/Common_Shares</f>
        <v>28.422127692647059</v>
      </c>
      <c r="D86" s="204"/>
      <c r="E86" s="165">
        <f>E85*Data!C4/Common_Shares</f>
        <v>28.422127692647059</v>
      </c>
      <c r="F86" s="204"/>
      <c r="H86" s="165">
        <f>H85*Data!C4/Common_Shares</f>
        <v>28.422127692647059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0.21345910533149373</v>
      </c>
      <c r="D87" s="204"/>
      <c r="E87" s="257">
        <f>E86*Exchange_Rate/Dashboard!G3</f>
        <v>0.21345910533149373</v>
      </c>
      <c r="F87" s="204"/>
      <c r="H87" s="257">
        <f>H86*Exchange_Rate/Dashboard!G3</f>
        <v>0.21345910533149373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2.3252845295556366</v>
      </c>
      <c r="D88" s="163">
        <f>C88/C86</f>
        <v>8.1812472123865623E-2</v>
      </c>
      <c r="E88" s="167">
        <f>Inputs!E98</f>
        <v>2.3252845295556366</v>
      </c>
      <c r="F88" s="163">
        <f>E88/E86</f>
        <v>8.1812472123865623E-2</v>
      </c>
      <c r="H88" s="167">
        <f>Inputs!F98</f>
        <v>2.3252845295556366</v>
      </c>
      <c r="I88" s="163">
        <f>H88/H86</f>
        <v>8.1812472123865623E-2</v>
      </c>
      <c r="K88" s="24"/>
    </row>
    <row r="89" spans="1:11" ht="15" customHeight="1" x14ac:dyDescent="0.4">
      <c r="B89" s="86" t="s">
        <v>205</v>
      </c>
      <c r="C89" s="256">
        <f>C88*Exchange_Rate/Dashboard!G3</f>
        <v>1.7463617104518124E-2</v>
      </c>
      <c r="D89" s="204"/>
      <c r="E89" s="256">
        <f>E88*Exchange_Rate/Dashboard!G3</f>
        <v>1.7463617104518124E-2</v>
      </c>
      <c r="F89" s="204"/>
      <c r="H89" s="256">
        <f>H88*Exchange_Rate/Dashboard!G3</f>
        <v>1.7463617104518124E-2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1205.4636599446751</v>
      </c>
      <c r="H93" s="86" t="s">
        <v>194</v>
      </c>
      <c r="I93" s="142">
        <f>FV(H87,D93,0,-(H86/(C93-D94)))*Exchange_Rate</f>
        <v>1205.4636599446751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40.873549788807516</v>
      </c>
      <c r="H94" s="86" t="s">
        <v>195</v>
      </c>
      <c r="I94" s="142">
        <f>FV(H89,D93,0,-(H88/(C93-D94)))*Exchange_Rate</f>
        <v>40.873549788807516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1737453.3220889133</v>
      </c>
      <c r="D97" s="208"/>
      <c r="E97" s="121">
        <f>PV(C94,D93,0,-F93)</f>
        <v>599.32848697202144</v>
      </c>
      <c r="F97" s="208"/>
      <c r="H97" s="121">
        <f>PV(C94,D93,0,-I93)</f>
        <v>599.32848697202144</v>
      </c>
      <c r="I97" s="121">
        <f>PV(C93,D93,0,-I93)</f>
        <v>797.085989123216</v>
      </c>
      <c r="K97" s="24"/>
    </row>
    <row r="98" spans="2:11" ht="15" customHeight="1" x14ac:dyDescent="0.4">
      <c r="B98" s="28" t="s">
        <v>138</v>
      </c>
      <c r="C98" s="90">
        <f>-E53*Exchange_Rate</f>
        <v>-89744.27396856001</v>
      </c>
      <c r="D98" s="208"/>
      <c r="E98" s="208"/>
      <c r="F98" s="208"/>
      <c r="H98" s="121">
        <f>C98*Data!$C$4/Common_Shares</f>
        <v>-30.956975504420001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1647709.0481203534</v>
      </c>
      <c r="D100" s="108">
        <f>MIN(F100*(1-C94),E100)</f>
        <v>483.11578474746119</v>
      </c>
      <c r="E100" s="108">
        <f>MAX(E97+H98+E99,0)</f>
        <v>568.37151146760141</v>
      </c>
      <c r="F100" s="108">
        <f>(E100+H100)/2</f>
        <v>568.37151146760141</v>
      </c>
      <c r="H100" s="108">
        <f>MAX(C100*Data!$C$4/Common_Shares,0)</f>
        <v>568.37151146760141</v>
      </c>
      <c r="I100" s="108">
        <f>MAX(I97+H98+H99,0)</f>
        <v>766.12901361879597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58911.676250273282</v>
      </c>
      <c r="D103" s="108">
        <f>MIN(F103*(1-C94),E103)</f>
        <v>17.273171337443713</v>
      </c>
      <c r="E103" s="121">
        <f>PV(C94,D93,0,-F94)</f>
        <v>20.321378044051428</v>
      </c>
      <c r="F103" s="108">
        <f>(E103+H103)/2</f>
        <v>20.321378044051428</v>
      </c>
      <c r="H103" s="121">
        <f>PV(C94,D93,0,-I94)</f>
        <v>20.321378044051428</v>
      </c>
      <c r="I103" s="108">
        <f>PV(C93,D93,0,-I94)</f>
        <v>27.02672419331488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853310.36218531337</v>
      </c>
      <c r="D106" s="108">
        <f>(D100+D103)/2</f>
        <v>250.19447804245246</v>
      </c>
      <c r="E106" s="121">
        <f>(E100+E103)/2</f>
        <v>294.34644475582644</v>
      </c>
      <c r="F106" s="108">
        <f>(F100+F103)/2</f>
        <v>294.34644475582644</v>
      </c>
      <c r="H106" s="121">
        <f>(H100+H103)/2</f>
        <v>294.34644475582644</v>
      </c>
      <c r="I106" s="121">
        <f>(I100+I103)/2</f>
        <v>396.57786890605541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