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F250070-86C4-4470-B002-C0772B95496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2" i="4"/>
  <c r="D63" i="4" s="1"/>
  <c r="D61" i="4"/>
  <c r="D60" i="4"/>
  <c r="D59" i="4"/>
  <c r="D58" i="4"/>
  <c r="D71" i="4" s="1"/>
  <c r="D55" i="4"/>
  <c r="D50" i="4"/>
  <c r="D56" i="4" s="1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F96" i="4" l="1"/>
  <c r="E88" i="3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<sst xmlns="http://schemas.openxmlformats.org/spreadsheetml/2006/main" count="391" uniqueCount="272">
  <si>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</si>
  <si>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</si>
  <si>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</si>
  <si>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</si>
  <si>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</si>
  <si>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</si>
  <si>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</si>
  <si>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</si>
  <si>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</si>
  <si>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</si>
  <si>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</si>
  <si>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</si>
  <si>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</si>
  <si>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</si>
  <si>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</si>
  <si>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</si>
  <si>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</si>
  <si>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</si>
  <si>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</si>
  <si>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</si>
  <si>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</si>
  <si>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</si>
  <si>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</si>
  <si>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</si>
  <si>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</si>
  <si>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</si>
  <si>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</si>
  <si>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</si>
  <si>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</si>
  <si>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</si>
  <si>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</si>
  <si>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</si>
  <si>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</si>
  <si>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</si>
  <si>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</si>
  <si>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</si>
  <si>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</si>
  <si>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</si>
  <si>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</si>
  <si>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</si>
  <si>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</si>
  <si>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</si>
  <si>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</si>
  <si>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</si>
  <si>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</si>
  <si>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</si>
  <si>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</si>
  <si>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</si>
  <si>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</si>
  <si>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</si>
  <si>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</si>
  <si>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</si>
  <si>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</si>
  <si>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</si>
  <si>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</si>
  <si>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</si>
  <si>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</si>
  <si>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</si>
  <si>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</si>
  <si>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</si>
  <si>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</si>
  <si>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</si>
  <si>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</si>
  <si>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</si>
  <si>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</si>
  <si>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</si>
  <si>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</si>
  <si>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</si>
  <si>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</si>
  <si>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</si>
  <si>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</si>
  <si>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</si>
  <si>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</si>
  <si>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</si>
  <si>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</si>
  <si>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</si>
  <si>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</si>
  <si>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</si>
  <si>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</si>
  <si>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</si>
  <si>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</si>
  <si>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</si>
  <si>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</si>
  <si>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</si>
  <si>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</si>
  <si>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</si>
  <si>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</si>
  <si>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</si>
  <si>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</si>
  <si>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</si>
  <si>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</si>
  <si>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</si>
  <si>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</si>
  <si>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</si>
  <si>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</si>
  <si>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</si>
  <si>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</si>
  <si>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</si>
  <si>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</si>
  <si>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</si>
  <si>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</si>
  <si>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</si>
  <si>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</si>
  <si>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</si>
  <si>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</si>
  <si>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</si>
  <si>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</si>
  <si>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</si>
  <si>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</si>
  <si>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</si>
  <si>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</si>
  <si>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</si>
  <si>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</si>
  <si>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</si>
  <si>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</si>
  <si>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</si>
  <si>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</si>
  <si>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</si>
  <si>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</si>
  <si>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</si>
  <si>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</si>
  <si>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</si>
  <si>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</si>
  <si>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</si>
  <si>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</si>
  <si>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</si>
  <si>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</si>
  <si>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</si>
  <si>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</si>
  <si>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</si>
  <si>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</si>
  <si>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</si>
  <si>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</si>
  <si>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</si>
  <si>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</si>
  <si>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</si>
  <si>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</si>
  <si>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</si>
  <si>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</si>
  <si>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</si>
  <si>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</si>
  <si>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</si>
  <si>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</si>
  <si>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</si>
  <si>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</si>
  <si>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</si>
  <si>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</si>
  <si>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</si>
  <si>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</si>
  <si>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</si>
  <si>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</si>
  <si>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</si>
  <si>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</si>
  <si>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</si>
  <si>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</si>
  <si>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</si>
  <si>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</si>
  <si>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</si>
  <si>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</si>
  <si>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</si>
  <si>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</si>
  <si>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</si>
  <si>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</si>
  <si>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</si>
  <si>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</si>
  <si>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</si>
  <si>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</si>
  <si>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</si>
  <si>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</si>
  <si>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</si>
  <si>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</si>
  <si>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</si>
  <si>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</si>
  <si>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</si>
  <si>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</si>
  <si>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</si>
  <si>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</si>
  <si>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</si>
  <si>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</si>
  <si>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</si>
  <si>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</si>
  <si>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</si>
  <si>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</si>
  <si>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</si>
  <si>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</si>
  <si>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</si>
  <si>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</si>
  <si>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</si>
  <si>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</si>
  <si>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</si>
  <si>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</si>
  <si>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</si>
  <si>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</si>
  <si>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</si>
  <si>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</si>
  <si>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</si>
  <si>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</si>
  <si>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</si>
  <si>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</si>
  <si>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</si>
  <si>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</si>
  <si>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</si>
  <si>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</si>
  <si>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</si>
  <si>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</si>
  <si>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</si>
  <si>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</si>
  <si>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</si>
  <si>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</si>
  <si>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</si>
  <si>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</si>
  <si>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</si>
  <si>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</si>
  <si>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</si>
  <si>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</si>
  <si>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</si>
  <si>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</si>
  <si>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</si>
  <si>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</si>
  <si>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</si>
  <si>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</si>
  <si>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</si>
  <si>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</si>
  <si>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</si>
  <si>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</si>
  <si>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</si>
  <si>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</si>
  <si>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</si>
  <si>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</si>
  <si>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</si>
  <si>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</si>
  <si>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</si>
  <si>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</si>
  <si>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</si>
  <si>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</si>
  <si>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</si>
  <si>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</si>
  <si>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</si>
  <si>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</si>
  <si>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</si>
  <si>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</si>
  <si>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</si>
  <si>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</si>
  <si>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</si>
  <si>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</si>
  <si>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</si>
  <si>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</si>
  <si>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</si>
  <si>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</si>
  <si>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</si>
  <si>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</si>
  <si>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</si>
  <si>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</si>
  <si>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</si>
  <si>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</si>
  <si>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</si>
  <si>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</si>
  <si>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</si>
  <si>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</si>
  <si>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</si>
  <si>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</si>
  <si>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</si>
  <si>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</si>
  <si>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0083.HK</t>
  </si>
  <si>
    <t>SINO LAND</t>
  </si>
  <si>
    <t>Tier 3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</si>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</sst>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36" zoomScaleNormal="100" workbookViewId="0">
      <selection activeCell="E66" sqref="E6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265</v>
      </c>
      <c r="E8" s="267"/>
    </row>
    <row r="9" spans="1:5" ht="13.9" x14ac:dyDescent="0.4">
      <c r="B9" s="140" t="s">
        <v>217</v>
      </c>
      <c r="C9" s="192" t="s">
        <v>266</v>
      </c>
    </row>
    <row r="10" spans="1:5" ht="13.9" x14ac:dyDescent="0.4">
      <c r="B10" s="140" t="s">
        <v>218</v>
      </c>
      <c r="C10" s="193">
        <v>8171879936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45473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256</v>
      </c>
      <c r="C15" s="176" t="s">
        <v>190</v>
      </c>
    </row>
    <row r="16" spans="1:5" ht="13.9" x14ac:dyDescent="0.4">
      <c r="B16" s="222" t="s">
        <v>97</v>
      </c>
      <c r="C16" s="223">
        <v>0.20500000000000002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49">
        <v>8765</v>
      </c>
      <c r="D25" s="149">
        <v>11881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5344</v>
      </c>
      <c r="D26" s="150">
        <v>6492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1084</v>
      </c>
      <c r="D27" s="150">
        <v>1129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94</v>
      </c>
      <c r="D29" s="150">
        <v>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-151</v>
      </c>
      <c r="D30" s="150">
        <v>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910</v>
      </c>
      <c r="D31" s="150">
        <v>2541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160</v>
      </c>
      <c r="D32" s="150">
        <v>198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69</v>
      </c>
      <c r="D33" s="150">
        <v>108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67641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7251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16389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10902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5263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163105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756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0.57999999999999996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7.3047858942065488E-2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1" t="s">
        <v>46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1641</v>
      </c>
      <c r="D66" s="60">
        <v>0.3</v>
      </c>
      <c r="E66" s="221" t="s">
        <v>46</v>
      </c>
    </row>
    <row r="67" spans="2:5" ht="13.9" x14ac:dyDescent="0.4">
      <c r="B67" s="1" t="s">
        <v>49</v>
      </c>
      <c r="C67" s="59">
        <v>0</v>
      </c>
      <c r="D67" s="60">
        <v>0.2</v>
      </c>
      <c r="E67" s="221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0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45473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8765</v>
      </c>
      <c r="D91" s="209"/>
      <c r="E91" s="251">
        <f>C91</f>
        <v>8765</v>
      </c>
      <c r="F91" s="251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59">
        <f>C92/C91</f>
        <v>0.60969766115231028</v>
      </c>
      <c r="E92" s="252">
        <f>E91*D92</f>
        <v>5344</v>
      </c>
      <c r="F92" s="252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59">
        <f>C93/C91</f>
        <v>0.12367370222475756</v>
      </c>
      <c r="E93" s="252">
        <f>E91*D93</f>
        <v>1084</v>
      </c>
      <c r="F93" s="252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59">
        <f>C94/C91</f>
        <v>1.0724472333143184E-2</v>
      </c>
      <c r="E94" s="253"/>
      <c r="F94" s="252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59">
        <f>C95/C91</f>
        <v>1.038220193953223E-2</v>
      </c>
      <c r="E95" s="252">
        <f>E91*D95</f>
        <v>91</v>
      </c>
      <c r="F95" s="252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59">
        <f>C96/C91</f>
        <v>0.1038220193953223</v>
      </c>
      <c r="E96" s="253"/>
      <c r="F96" s="252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0.57999999999999996</v>
      </c>
      <c r="D98" s="266"/>
      <c r="E98" s="254">
        <f>F98</f>
        <v>0.57999999999999996</v>
      </c>
      <c r="F98" s="254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28" sqref="C2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0083.HK</v>
      </c>
      <c r="D3" s="278"/>
      <c r="E3" s="87"/>
      <c r="F3" s="3" t="s">
        <v>1</v>
      </c>
      <c r="G3" s="132">
        <v>7.94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SINO LAND</v>
      </c>
      <c r="D4" s="280"/>
      <c r="E4" s="87"/>
      <c r="F4" s="3" t="s">
        <v>3</v>
      </c>
      <c r="G4" s="283">
        <f>Inputs!C10</f>
        <v>8171879936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64884.726691840006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0.60969766115231028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0.39012919197094686</v>
      </c>
    </row>
    <row r="24" spans="1:8" ht="15.75" customHeight="1" x14ac:dyDescent="0.4">
      <c r="B24" s="137" t="s">
        <v>171</v>
      </c>
      <c r="C24" s="171">
        <f>Fin_Analysis!I81</f>
        <v>1.0724472333143184E-2</v>
      </c>
      <c r="F24" s="140" t="s">
        <v>259</v>
      </c>
      <c r="G24" s="268">
        <f>G3/(Fin_Analysis!H86*G7)</f>
        <v>34.407517755775118</v>
      </c>
    </row>
    <row r="25" spans="1:8" ht="15.75" customHeight="1" x14ac:dyDescent="0.4">
      <c r="B25" s="137" t="s">
        <v>244</v>
      </c>
      <c r="C25" s="171">
        <f>Fin_Analysis!I82</f>
        <v>1.038220193953223E-2</v>
      </c>
      <c r="F25" s="140" t="s">
        <v>175</v>
      </c>
      <c r="G25" s="171">
        <f>Fin_Analysis!I88</f>
        <v>2.5133955035704743</v>
      </c>
    </row>
    <row r="26" spans="1:8" ht="15.75" customHeight="1" x14ac:dyDescent="0.4">
      <c r="B26" s="138" t="s">
        <v>174</v>
      </c>
      <c r="C26" s="171">
        <f>Fin_Analysis!I83</f>
        <v>0.22552196235025673</v>
      </c>
      <c r="F26" s="141" t="s">
        <v>194</v>
      </c>
      <c r="G26" s="178">
        <f>Fin_Analysis!H88*Exchange_Rate/G3</f>
        <v>7.3047858942065488E-2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258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7.4389136492123615</v>
      </c>
      <c r="D29" s="129">
        <f>G29*(1+G20)</f>
        <v>12.470700196094882</v>
      </c>
      <c r="E29" s="87"/>
      <c r="F29" s="131">
        <f>IF(Fin_Analysis!C108="Profit",Fin_Analysis!F100,IF(Fin_Analysis!C108="Dividend",Fin_Analysis!F103,Fin_Analysis!F106))</f>
        <v>8.751663116720426</v>
      </c>
      <c r="G29" s="274">
        <f>IF(Fin_Analysis!C108="Profit",Fin_Analysis!I100,IF(Fin_Analysis!C108="Dividend",Fin_Analysis!I103,Fin_Analysis!I106))</f>
        <v>10.844087127039028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45473</v>
      </c>
      <c r="E3" s="146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0">
        <f>IF(Inputs!C25=""," ",Inputs!C25)</f>
        <v>8765</v>
      </c>
      <c r="D6" s="200">
        <f>IF(Inputs!D25="","",Inputs!D25)</f>
        <v>11881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5344</v>
      </c>
      <c r="D8" s="199">
        <f>IF(Inputs!D26="","",Inputs!D26)</f>
        <v>6492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3421</v>
      </c>
      <c r="D9" s="151">
        <f t="shared" si="2"/>
        <v>5389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1084</v>
      </c>
      <c r="D10" s="199">
        <f>IF(Inputs!D27="","",Inputs!D27)</f>
        <v>1129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38.9937106918239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0.26662863662293212</v>
      </c>
      <c r="D13" s="229">
        <f t="shared" si="3"/>
        <v>0.35527365451630133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2337</v>
      </c>
      <c r="D14" s="230">
        <f t="shared" ref="D14:M14" si="4">IF(D6="","",D9-D10-MAX(D11,0)-MAX(D12,0))</f>
        <v>4221.0062893081758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-0.44634055487677682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910</v>
      </c>
      <c r="D16" s="199">
        <f>IF(Inputs!D31="","",Inputs!D31)</f>
        <v>2541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94</v>
      </c>
      <c r="D17" s="199">
        <f>IF(Inputs!D29="","",Inputs!D29)</f>
        <v>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1.825442099258414E-2</v>
      </c>
      <c r="D18" s="152">
        <f t="shared" si="6"/>
        <v>1.6665263866677889E-2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160</v>
      </c>
      <c r="D19" s="199">
        <f>IF(Inputs!D32="","",Inputs!D32)</f>
        <v>198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7.8722190530519116E-3</v>
      </c>
      <c r="D20" s="152">
        <f t="shared" si="7"/>
        <v>9.0901439272788494E-3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69</v>
      </c>
      <c r="D21" s="199">
        <f>IF(Inputs!D33="","",Inputs!D33)</f>
        <v>108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1242</v>
      </c>
      <c r="D22" s="161">
        <f t="shared" ref="D22:M22" si="8">IF(D6="","",D14-MAX(D16,0)-MAX(D17,0)-ABS(MAX(D21,0)-MAX(D19,0)))</f>
        <v>1494.0062893081758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0.11265145464917284</v>
      </c>
      <c r="D23" s="153">
        <f t="shared" si="9"/>
        <v>9.9969278680245743E-2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-0.16867819841968104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199">
        <f>IF(Inputs!D34="","",Inputs!D34)</f>
        <v>67641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199">
        <f>IF(Inputs!D35="","",Inputs!D35)</f>
        <v>7251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199">
        <f>IF(Inputs!D36="","",Inputs!D36)</f>
        <v>16389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199">
        <f>IF(Inputs!D37="","",Inputs!D37)</f>
        <v>10902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199">
        <f>IF(Inputs!D38="","",Inputs!D38)</f>
        <v>5263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199">
        <f>IF(Inputs!D41="","",Inputs!D41)</f>
        <v>163105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199">
        <f>IF(Inputs!D42="","",Inputs!D42)</f>
        <v>756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139541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40803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5.727520035291523E-2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0.60969766115231028</v>
      </c>
      <c r="D42" s="156">
        <f t="shared" si="34"/>
        <v>0.54641865162865078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0.12367370222475756</v>
      </c>
      <c r="D43" s="153">
        <f t="shared" si="35"/>
        <v>9.5025671239794635E-2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0.1038220193953223</v>
      </c>
      <c r="D44" s="153">
        <f t="shared" si="36"/>
        <v>0.21387088628903292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1.0724472333143184E-2</v>
      </c>
      <c r="D45" s="153">
        <f t="shared" si="37"/>
        <v>8.0801279353589772E-3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3.2820226152532532E-3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1.038220193953223E-2</v>
      </c>
      <c r="D47" s="153">
        <f t="shared" ref="D47:M47" si="39">IF(D6="","",ABS(MAX(D21,0)-MAX(D19,0))/D6)</f>
        <v>7.5751199393990403E-3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0.1416999429549344</v>
      </c>
      <c r="D48" s="153">
        <f t="shared" si="40"/>
        <v>0.12574752035251038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0.93462635482030809</v>
      </c>
      <c r="D50" s="156">
        <f t="shared" si="41"/>
        <v>0.61030216311758267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0.73029092983456934</v>
      </c>
      <c r="D51" s="153">
        <f t="shared" si="42"/>
        <v>1.3794293409645653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-0.2920410783055199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7.7784678170607288E-2</v>
      </c>
      <c r="D54" s="156">
        <f t="shared" ref="D54:M54" si="44">IF(D36="","",(D27-D36)/D27)</f>
        <v>9.0171250069727232E-2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1.4325259515570934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7.5684380032206122E-2</v>
      </c>
      <c r="D56" s="153">
        <f t="shared" si="46"/>
        <v>6.4256757610072962E-2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9.0093374264517774</v>
      </c>
      <c r="D57" s="158">
        <f t="shared" si="47"/>
        <v>6.2044578976334614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28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84515.700000000012</v>
      </c>
      <c r="E6" s="56">
        <f>1-D6/D3</f>
        <v>0.49183662425743757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10.342259145007587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8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8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8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8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8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8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Inputs!C57</f>
        <v>9403</v>
      </c>
      <c r="D20" s="198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8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6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8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8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8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8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8">
        <f>Inputs!D66</f>
        <v>0.3</v>
      </c>
      <c r="E36" s="88">
        <f t="shared" si="1"/>
        <v>492.29999999999995</v>
      </c>
      <c r="F36" s="134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0.2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8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8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0.21301652892561981</v>
      </c>
      <c r="E46" s="88">
        <f>E36+E37+E38+E39</f>
        <v>618.59999999999991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0.39676186663512547</v>
      </c>
      <c r="E48" s="76">
        <f>SUM(E30:E42)</f>
        <v>43607.700000000004</v>
      </c>
      <c r="F48" s="87"/>
      <c r="G48" s="87"/>
      <c r="H48" s="80" t="s">
        <v>85</v>
      </c>
      <c r="I48" s="207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0.54933737745641664</v>
      </c>
      <c r="E49" s="88">
        <f>E28+E48</f>
        <v>99069.700000000012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867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93967</v>
      </c>
      <c r="D61" s="56">
        <f t="shared" ref="D61:D70" si="2">IF(E61=0,0,E61/C61)</f>
        <v>0.40197196888269282</v>
      </c>
      <c r="E61" s="52">
        <f>E14+E15+(E19*G19)+(E20*G20)+E31+E32+(E35*G35)+(E36*G36)+(E37*G37)</f>
        <v>37772.1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139541</v>
      </c>
      <c r="D63" s="29">
        <f t="shared" si="2"/>
        <v>0.56462760049017846</v>
      </c>
      <c r="E63" s="61">
        <f>E61+E62</f>
        <v>78788.7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138674</v>
      </c>
      <c r="D65" s="29">
        <f t="shared" si="2"/>
        <v>0.56190562037584546</v>
      </c>
      <c r="E65" s="61">
        <f>E63-E64</f>
        <v>77921.7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40803</v>
      </c>
      <c r="D68" s="29">
        <f t="shared" si="2"/>
        <v>0.49704678577555605</v>
      </c>
      <c r="E68" s="68">
        <f>E49-E63</f>
        <v>20281.000000000015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27642</v>
      </c>
      <c r="D70" s="29">
        <f t="shared" si="2"/>
        <v>0.25757904637869961</v>
      </c>
      <c r="E70" s="68">
        <f>E68-E69</f>
        <v>7120.0000000000146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45473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8765</v>
      </c>
      <c r="D74" s="209"/>
      <c r="E74" s="238">
        <f>Inputs!E91</f>
        <v>8765</v>
      </c>
      <c r="F74" s="209"/>
      <c r="H74" s="238">
        <f>Inputs!F91</f>
        <v>10518</v>
      </c>
      <c r="I74" s="209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59">
        <f>C75/$C$74</f>
        <v>0.60969766115231028</v>
      </c>
      <c r="E75" s="238">
        <f>Inputs!E92</f>
        <v>5344</v>
      </c>
      <c r="F75" s="160">
        <f>E75/E74</f>
        <v>0.60969766115231028</v>
      </c>
      <c r="H75" s="238">
        <f>Inputs!F92</f>
        <v>6412.7999999999993</v>
      </c>
      <c r="I75" s="160">
        <f>H75/$H$74</f>
        <v>0.60969766115231028</v>
      </c>
      <c r="K75" s="24"/>
    </row>
    <row r="76" spans="1:11" ht="15" customHeight="1" x14ac:dyDescent="0.4">
      <c r="B76" s="35" t="s">
        <v>96</v>
      </c>
      <c r="C76" s="161">
        <f>C74-C75</f>
        <v>3421</v>
      </c>
      <c r="D76" s="210"/>
      <c r="E76" s="162">
        <f>E74-E75</f>
        <v>3421</v>
      </c>
      <c r="F76" s="210"/>
      <c r="H76" s="162">
        <f>H74-H75</f>
        <v>4105.2000000000007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59">
        <f>C77/$C$74</f>
        <v>0.12367370222475756</v>
      </c>
      <c r="E77" s="238">
        <f>Inputs!E93</f>
        <v>1084</v>
      </c>
      <c r="F77" s="160">
        <f>E77/E74</f>
        <v>0.12367370222475756</v>
      </c>
      <c r="H77" s="238">
        <f>Inputs!F93</f>
        <v>1300.8</v>
      </c>
      <c r="I77" s="160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2337</v>
      </c>
      <c r="D79" s="258">
        <f>C79/C74</f>
        <v>0.26662863662293212</v>
      </c>
      <c r="E79" s="259">
        <f>E76-E77-E78</f>
        <v>2337</v>
      </c>
      <c r="F79" s="258">
        <f>E79/E74</f>
        <v>0.26662863662293212</v>
      </c>
      <c r="G79" s="260"/>
      <c r="H79" s="259">
        <f>H76-H77-H78</f>
        <v>2804.4000000000005</v>
      </c>
      <c r="I79" s="258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59">
        <f>C80/$C$74</f>
        <v>0.1038220193953223</v>
      </c>
      <c r="E80" s="180">
        <f>E74*F80</f>
        <v>175.3</v>
      </c>
      <c r="F80" s="160">
        <f>I80</f>
        <v>0.02</v>
      </c>
      <c r="H80" s="238">
        <f>Inputs!F96</f>
        <v>210.36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59">
        <f>C81/$C$74</f>
        <v>1.0724472333143184E-2</v>
      </c>
      <c r="E81" s="180">
        <f>E74*F81</f>
        <v>94</v>
      </c>
      <c r="F81" s="160">
        <f>I81</f>
        <v>1.0724472333143184E-2</v>
      </c>
      <c r="H81" s="238">
        <f>Inputs!F94</f>
        <v>112.80000000000001</v>
      </c>
      <c r="I81" s="160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59">
        <f>C82/$C$74</f>
        <v>1.038220193953223E-2</v>
      </c>
      <c r="E82" s="238">
        <f>Inputs!E95</f>
        <v>91</v>
      </c>
      <c r="F82" s="160">
        <f>E82/E74</f>
        <v>1.038220193953223E-2</v>
      </c>
      <c r="H82" s="238">
        <f>Inputs!F95</f>
        <v>109.2</v>
      </c>
      <c r="I82" s="160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3">
        <f>C79-C81-C82-C80</f>
        <v>1242</v>
      </c>
      <c r="D83" s="164">
        <f>C83/$C$74</f>
        <v>0.1416999429549344</v>
      </c>
      <c r="E83" s="165">
        <f>E79-E81-E82-E80</f>
        <v>1976.7</v>
      </c>
      <c r="F83" s="164">
        <f>E83/E74</f>
        <v>0.22552196235025671</v>
      </c>
      <c r="H83" s="165">
        <f>H79-H81-H82-H80</f>
        <v>2372.0400000000004</v>
      </c>
      <c r="I83" s="164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0.20500000000000002</v>
      </c>
      <c r="E84" s="212"/>
      <c r="F84" s="179">
        <f t="shared" ref="F84" si="3">I84</f>
        <v>0.20500000000000002</v>
      </c>
      <c r="H84" s="212"/>
      <c r="I84" s="202">
        <f>Inputs!C16</f>
        <v>0.20500000000000002</v>
      </c>
      <c r="K84" s="24"/>
    </row>
    <row r="85" spans="1:11" ht="15" customHeight="1" x14ac:dyDescent="0.4">
      <c r="B85" s="263" t="s">
        <v>165</v>
      </c>
      <c r="C85" s="257">
        <f>C83*(1-I84)</f>
        <v>987.38999999999987</v>
      </c>
      <c r="D85" s="258">
        <f>C85/$C$74</f>
        <v>0.11265145464917284</v>
      </c>
      <c r="E85" s="264">
        <f>E83*(1-F84)</f>
        <v>1571.4765</v>
      </c>
      <c r="F85" s="258">
        <f>E85/E74</f>
        <v>0.17928996006845407</v>
      </c>
      <c r="G85" s="260"/>
      <c r="H85" s="264">
        <f>H83*(1-I84)</f>
        <v>1885.7718000000002</v>
      </c>
      <c r="I85" s="258">
        <f>H85/$H$74</f>
        <v>0.1792899600684541</v>
      </c>
      <c r="K85" s="24"/>
    </row>
    <row r="86" spans="1:11" ht="15" customHeight="1" x14ac:dyDescent="0.4">
      <c r="B86" s="87" t="s">
        <v>161</v>
      </c>
      <c r="C86" s="167">
        <f>C85*Data!C4/Common_Shares</f>
        <v>0.12082776640540205</v>
      </c>
      <c r="D86" s="209"/>
      <c r="E86" s="168">
        <f>E85*Data!C4/Common_Shares</f>
        <v>0.19230293546985366</v>
      </c>
      <c r="F86" s="209"/>
      <c r="H86" s="168">
        <f>H85*Data!C4/Common_Shares</f>
        <v>0.23076352256382443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1.5217602821839048E-2</v>
      </c>
      <c r="D87" s="209"/>
      <c r="E87" s="262">
        <f>E86*Exchange_Rate/Dashboard!G3</f>
        <v>2.4219513283356885E-2</v>
      </c>
      <c r="F87" s="209"/>
      <c r="H87" s="262">
        <f>H86*Exchange_Rate/Dashboard!G3</f>
        <v>2.9063415940028266E-2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0.57999999999999996</v>
      </c>
      <c r="D88" s="166">
        <f>C88/C86</f>
        <v>4.8002211516016979</v>
      </c>
      <c r="E88" s="170">
        <f>Inputs!E98</f>
        <v>0.57999999999999996</v>
      </c>
      <c r="F88" s="166">
        <f>E88/E86</f>
        <v>3.0160746042845692</v>
      </c>
      <c r="H88" s="170">
        <f>Inputs!F98</f>
        <v>0.57999999999999996</v>
      </c>
      <c r="I88" s="166">
        <f>H88/H86</f>
        <v>2.5133955035704743</v>
      </c>
      <c r="K88" s="24"/>
    </row>
    <row r="89" spans="1:11" ht="15" customHeight="1" x14ac:dyDescent="0.4">
      <c r="B89" s="87" t="s">
        <v>222</v>
      </c>
      <c r="C89" s="261">
        <f>C88*Exchange_Rate/Dashboard!G3</f>
        <v>7.3047858942065488E-2</v>
      </c>
      <c r="D89" s="209"/>
      <c r="E89" s="261">
        <f>E88*Exchange_Rate/Dashboard!G3</f>
        <v>7.3047858942065488E-2</v>
      </c>
      <c r="F89" s="209"/>
      <c r="H89" s="261">
        <f>H88*Exchange_Rate/Dashboard!G3</f>
        <v>7.3047858942065488E-2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3.5751921705337626</v>
      </c>
      <c r="H93" s="87" t="s">
        <v>210</v>
      </c>
      <c r="I93" s="144">
        <f>FV(H87,D93,0,-(H86/(C93-D94)))*Exchange_Rate</f>
        <v>4.3926449649575714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13.610425530520157</v>
      </c>
      <c r="H94" s="87" t="s">
        <v>211</v>
      </c>
      <c r="I94" s="144">
        <f>FV(H89,D93,0,-(H88/(C93-D94)))*Exchange_Rate</f>
        <v>13.610425530520157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17846.739245616074</v>
      </c>
      <c r="D97" s="213"/>
      <c r="E97" s="123">
        <f>PV(C94,D93,0,-F93)</f>
        <v>1.7775023714099829</v>
      </c>
      <c r="F97" s="213"/>
      <c r="H97" s="123">
        <f>PV(C94,D93,0,-I93)</f>
        <v>2.1839208830020764</v>
      </c>
      <c r="I97" s="123">
        <f>PV(C93,D93,0,-I93)</f>
        <v>2.9809250031496886</v>
      </c>
      <c r="K97" s="24"/>
    </row>
    <row r="98" spans="2:11" ht="15" customHeight="1" x14ac:dyDescent="0.4">
      <c r="B98" s="28" t="s">
        <v>145</v>
      </c>
      <c r="C98" s="91">
        <f>-E53*Exchange_Rate</f>
        <v>-526</v>
      </c>
      <c r="D98" s="213"/>
      <c r="E98" s="213"/>
      <c r="F98" s="213"/>
      <c r="H98" s="123">
        <f>C98*Data!$C$4/Common_Shares</f>
        <v>-6.4367073931517929E-2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77921.7</v>
      </c>
      <c r="D99" s="214"/>
      <c r="E99" s="145">
        <f>IF(H99&gt;0,H99*(1-C94),H99*(1+C94))</f>
        <v>8.1050438232968176</v>
      </c>
      <c r="F99" s="214"/>
      <c r="H99" s="145">
        <f>C99*Data!$C$4/Common_Shares</f>
        <v>9.5353456744668446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95242.439245616071</v>
      </c>
      <c r="D100" s="109">
        <f>MIN(F100*(1-C94),E100)</f>
        <v>9.1260584068328914</v>
      </c>
      <c r="E100" s="109">
        <f>MAX(E97+H98+E99,0)</f>
        <v>9.818179120775282</v>
      </c>
      <c r="F100" s="109">
        <f>(E100+H100)/2</f>
        <v>10.736539302156343</v>
      </c>
      <c r="H100" s="109">
        <f>MAX(C100*Data!$C$4/Common_Shares,0)</f>
        <v>11.654899483537404</v>
      </c>
      <c r="I100" s="109">
        <f>MAX(I97+H98+H99,0)</f>
        <v>12.451903603685015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55297.370354950872</v>
      </c>
      <c r="D103" s="109">
        <f>MIN(F103*(1-C94),E103)</f>
        <v>5.7517688915918308</v>
      </c>
      <c r="E103" s="123">
        <f>PV(C94,D93,0,-F94)</f>
        <v>6.766786931284507</v>
      </c>
      <c r="F103" s="109">
        <f>(E103+H103)/2</f>
        <v>6.766786931284507</v>
      </c>
      <c r="H103" s="123">
        <f>PV(C94,D93,0,-I94)</f>
        <v>6.766786931284507</v>
      </c>
      <c r="I103" s="109">
        <f>PV(C93,D93,0,-I94)</f>
        <v>9.2362706503930436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67765.175660034278</v>
      </c>
      <c r="D106" s="109">
        <f>(D100+D103)/2</f>
        <v>7.4389136492123615</v>
      </c>
      <c r="E106" s="123">
        <f>(E100+E103)/2</f>
        <v>8.2924830260298954</v>
      </c>
      <c r="F106" s="109">
        <f>(F100+F103)/2</f>
        <v>8.751663116720426</v>
      </c>
      <c r="H106" s="123">
        <f>(H100+H103)/2</f>
        <v>9.2108432074109565</v>
      </c>
      <c r="I106" s="123">
        <f>(I100+I103)/2</f>
        <v>10.844087127039028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