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E16DCC4-3B4F-4265-A1FF-D8B1F5DDE33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F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2" i="4" l="1"/>
  <c r="F92" i="4"/>
  <c r="F93" i="4"/>
  <c r="E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<sst xmlns="http://schemas.openxmlformats.org/spreadsheetml/2006/main" count="391" uniqueCount="269">
  <si>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</si>
  <si>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</si>
  <si>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</si>
  <si>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</si>
  <si>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</si>
  <si>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</si>
  <si>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</si>
  <si>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</si>
  <si>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</si>
  <si>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</si>
  <si>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</si>
  <si>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</si>
  <si>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</si>
  <si>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</si>
  <si>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</si>
  <si>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</si>
  <si>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</si>
  <si>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</si>
  <si>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</si>
  <si>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</si>
  <si>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</si>
  <si>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</si>
  <si>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</si>
  <si>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</si>
  <si>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</si>
  <si>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</si>
  <si>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</si>
  <si>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</si>
  <si>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</si>
  <si>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</si>
  <si>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</si>
  <si>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</si>
  <si>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</si>
  <si>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</si>
  <si>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</si>
  <si>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</si>
  <si>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</si>
  <si>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</si>
  <si>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</si>
  <si>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</si>
  <si>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</si>
  <si>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</si>
  <si>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</si>
  <si>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</si>
  <si>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</si>
  <si>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</si>
  <si>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</si>
  <si>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</si>
  <si>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</si>
  <si>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</si>
  <si>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</si>
  <si>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</si>
  <si>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</si>
  <si>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</si>
  <si>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</si>
  <si>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</si>
  <si>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</si>
  <si>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</si>
  <si>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</si>
  <si>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</si>
  <si>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</si>
  <si>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</si>
  <si>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</si>
  <si>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</si>
  <si>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</si>
  <si>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</si>
  <si>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</si>
  <si>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</si>
  <si>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</si>
  <si>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</si>
  <si>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</si>
  <si>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</si>
  <si>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</si>
  <si>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</si>
  <si>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</si>
  <si>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</si>
  <si>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</si>
  <si>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</si>
  <si>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</si>
  <si>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</si>
  <si>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</si>
  <si>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</si>
  <si>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</si>
  <si>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</si>
  <si>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</si>
  <si>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</si>
  <si>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</si>
  <si>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</si>
  <si>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</si>
  <si>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</si>
  <si>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</si>
  <si>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</si>
  <si>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</si>
  <si>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</si>
  <si>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</si>
  <si>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</si>
  <si>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</si>
  <si>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</si>
  <si>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</si>
  <si>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</si>
  <si>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</si>
  <si>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</si>
  <si>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</si>
  <si>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</si>
  <si>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</si>
  <si>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</si>
  <si>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</si>
  <si>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</si>
  <si>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</si>
  <si>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</si>
  <si>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</si>
  <si>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</si>
  <si>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</si>
  <si>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</si>
  <si>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</si>
  <si>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</si>
  <si>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</si>
  <si>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</si>
  <si>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</si>
  <si>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</si>
  <si>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</si>
  <si>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</si>
  <si>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</si>
  <si>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</si>
  <si>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</si>
  <si>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</si>
  <si>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</si>
  <si>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</si>
  <si>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</si>
  <si>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</si>
  <si>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</si>
  <si>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</si>
  <si>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</si>
  <si>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</si>
  <si>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</si>
  <si>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</si>
  <si>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</si>
  <si>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</si>
  <si>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</si>
  <si>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</si>
  <si>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</si>
  <si>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</si>
  <si>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</si>
  <si>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</si>
  <si>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</si>
  <si>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</si>
  <si>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</si>
  <si>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</si>
  <si>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</si>
  <si>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</si>
  <si>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</si>
  <si>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</si>
  <si>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</si>
  <si>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</si>
  <si>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</si>
  <si>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</si>
  <si>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</si>
  <si>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</si>
  <si>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</si>
  <si>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</si>
  <si>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</si>
  <si>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</si>
  <si>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</si>
  <si>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</si>
  <si>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</si>
  <si>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</si>
  <si>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</si>
  <si>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</si>
  <si>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</si>
  <si>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</si>
  <si>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</si>
  <si>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</si>
  <si>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</si>
  <si>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</si>
  <si>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</si>
  <si>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</si>
  <si>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</si>
  <si>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</si>
  <si>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</si>
  <si>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</si>
  <si>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</si>
  <si>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</si>
  <si>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</si>
  <si>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</si>
  <si>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</si>
  <si>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</si>
  <si>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</si>
  <si>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</si>
  <si>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</si>
  <si>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</si>
  <si>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</si>
  <si>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</si>
  <si>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</si>
  <si>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</si>
  <si>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</si>
  <si>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</si>
  <si>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</si>
  <si>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</si>
  <si>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</si>
  <si>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</si>
  <si>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</si>
  <si>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</si>
  <si>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</si>
  <si>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</si>
  <si>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</si>
  <si>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</si>
  <si>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</si>
  <si>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</si>
  <si>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</si>
  <si>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</si>
  <si>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</si>
  <si>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</si>
  <si>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</si>
  <si>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</si>
  <si>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</si>
  <si>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</si>
  <si>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</si>
  <si>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</si>
  <si>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</si>
  <si>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</si>
  <si>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</si>
  <si>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</si>
  <si>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</si>
  <si>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</si>
  <si>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</si>
  <si>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</si>
  <si>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</si>
  <si>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</si>
  <si>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</si>
  <si>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</si>
  <si>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</si>
  <si>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</si>
  <si>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</si>
  <si>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</si>
  <si>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</si>
  <si>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</si>
  <si>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</si>
  <si>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</si>
  <si>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</si>
  <si>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</si>
  <si>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</si>
  <si>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</si>
  <si>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</si>
  <si>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</si>
  <si>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</si>
  <si>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</si>
  <si>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</si>
  <si>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</si>
  <si>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</si>
  <si>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</si>
  <si>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</si>
  <si>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</si>
  <si>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</si>
  <si>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</si>
  <si>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</si>
  <si>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</si>
  <si>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</si>
  <si>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</si>
  <si>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</si>
  <si>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</si>
  <si>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</si>
  <si>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</si>
  <si>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</si>
  <si>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</si>
  <si>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0175.HK</t>
  </si>
  <si>
    <t>吉利汽車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</si>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</sst>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0.8470171903697109</c:v>
                </c:pt>
                <c:pt idx="1">
                  <c:v>0.13310064677721414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1.9882162853074953E-2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45633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10071700480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179203592</v>
      </c>
      <c r="D25" s="149">
        <v>147964647</v>
      </c>
      <c r="E25" s="149">
        <v>101611056</v>
      </c>
      <c r="F25" s="149">
        <v>92113878</v>
      </c>
      <c r="G25" s="149">
        <v>0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151788523</v>
      </c>
      <c r="D26" s="150">
        <v>127069010</v>
      </c>
      <c r="E26" s="150">
        <v>84198821</v>
      </c>
      <c r="F26" s="150">
        <v>77376859</v>
      </c>
      <c r="G26" s="150">
        <v>0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23852114</v>
      </c>
      <c r="D27" s="150">
        <v>18320074</v>
      </c>
      <c r="E27" s="150">
        <v>14230292</v>
      </c>
      <c r="F27" s="150">
        <v>10798510</v>
      </c>
      <c r="G27" s="150">
        <v>0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0.19021246747798443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1.3432882417312927E-2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179203592</v>
      </c>
      <c r="D91" s="209"/>
      <c r="E91" s="251">
        <f>C91</f>
        <v>179203592</v>
      </c>
      <c r="F91" s="251">
        <f>C91</f>
        <v>179203592</v>
      </c>
    </row>
    <row r="92" spans="2:8" ht="13.9" x14ac:dyDescent="0.4">
      <c r="B92" s="104" t="s">
        <v>105</v>
      </c>
      <c r="C92" s="77">
        <f>C26</f>
        <v>151788523</v>
      </c>
      <c r="D92" s="159">
        <f>C92/C91</f>
        <v>0.8470171903697109</v>
      </c>
      <c r="E92" s="252">
        <f>E91*D92</f>
        <v>151788523</v>
      </c>
      <c r="F92" s="252">
        <f>F91*D92</f>
        <v>151788523</v>
      </c>
    </row>
    <row r="93" spans="2:8" ht="13.9" x14ac:dyDescent="0.4">
      <c r="B93" s="104" t="s">
        <v>247</v>
      </c>
      <c r="C93" s="77">
        <f>C27+C28</f>
        <v>23852114</v>
      </c>
      <c r="D93" s="159">
        <f>C93/C91</f>
        <v>0.13310064677721414</v>
      </c>
      <c r="E93" s="252">
        <f>E91*D93</f>
        <v>23852114</v>
      </c>
      <c r="F93" s="252">
        <f>F91*D93</f>
        <v>23852114</v>
      </c>
    </row>
    <row r="94" spans="2:8" ht="13.9" x14ac:dyDescent="0.4">
      <c r="B94" s="104" t="s">
        <v>257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0.19021246747798443</v>
      </c>
      <c r="D98" s="266"/>
      <c r="E98" s="254">
        <f>F98</f>
        <v>0.19021246747798443</v>
      </c>
      <c r="F98" s="254">
        <f>C98</f>
        <v>0.19021246747798443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0175.HK : 吉利汽車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0175.HK</v>
      </c>
      <c r="D3" s="278"/>
      <c r="E3" s="87"/>
      <c r="F3" s="3" t="s">
        <v>1</v>
      </c>
      <c r="G3" s="132">
        <v>15.14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吉利汽車</v>
      </c>
      <c r="D4" s="280"/>
      <c r="E4" s="87"/>
      <c r="F4" s="3" t="s">
        <v>2</v>
      </c>
      <c r="G4" s="283">
        <f>Inputs!C10</f>
        <v>10071700480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45633</v>
      </c>
      <c r="D5" s="282"/>
      <c r="E5" s="34"/>
      <c r="F5" s="35" t="s">
        <v>99</v>
      </c>
      <c r="G5" s="275">
        <f>G3*G4/1000000</f>
        <v>152485.54526720001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C0006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0.8470171903697109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0.13310064677721414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260</v>
      </c>
      <c r="G24" s="268">
        <f>G3/(Fin_Analysis!H86*G7)</f>
        <v>53.370462628011936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0.71691914903967835</v>
      </c>
    </row>
    <row r="26" spans="1:8" ht="15.75" customHeight="1" x14ac:dyDescent="0.4">
      <c r="B26" s="138" t="s">
        <v>173</v>
      </c>
      <c r="C26" s="171">
        <f>Fin_Analysis!I83</f>
        <v>1.9882162853074953E-2</v>
      </c>
      <c r="F26" s="141" t="s">
        <v>193</v>
      </c>
      <c r="G26" s="178">
        <f>Fin_Analysis!H88*Exchange_Rate/G3</f>
        <v>1.3432882417312927E-2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2.1697674255511159</v>
      </c>
      <c r="D29" s="129">
        <f>G29*(1+G20)</f>
        <v>4.006879188610422</v>
      </c>
      <c r="E29" s="87"/>
      <c r="F29" s="131">
        <f>IF(Fin_Analysis!C108="Profit",Fin_Analysis!F100,IF(Fin_Analysis!C108="Dividend",Fin_Analysis!F103,Fin_Analysis!F106))</f>
        <v>2.5526675594719013</v>
      </c>
      <c r="G29" s="274">
        <f>IF(Fin_Analysis!C108="Profit",Fin_Analysis!I100,IF(Fin_Analysis!C108="Dividend",Fin_Analysis!I103,Fin_Analysis!I106))</f>
        <v>3.4842427727047149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3562955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179203592</v>
      </c>
      <c r="D6" s="200">
        <f>IF(Inputs!D25="","",Inputs!D25)</f>
        <v>147964647</v>
      </c>
      <c r="E6" s="200">
        <f>IF(Inputs!E25="","",Inputs!E25)</f>
        <v>101611056</v>
      </c>
      <c r="F6" s="200">
        <f>IF(Inputs!F25="","",Inputs!F25)</f>
        <v>92113878</v>
      </c>
      <c r="G6" s="200">
        <f>IF(Inputs!G25="","",Inputs!G25)</f>
        <v>0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0.21112438432675074</v>
      </c>
      <c r="D7" s="92">
        <f t="shared" si="1"/>
        <v>0.45618649017878532</v>
      </c>
      <c r="E7" s="92">
        <f t="shared" si="1"/>
        <v>0.10310257483676888</v>
      </c>
      <c r="F7" s="92" t="e">
        <f t="shared" si="1"/>
        <v>#DIV/0!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151788523</v>
      </c>
      <c r="D8" s="199">
        <f>IF(Inputs!D26="","",Inputs!D26)</f>
        <v>127069010</v>
      </c>
      <c r="E8" s="199">
        <f>IF(Inputs!E26="","",Inputs!E26)</f>
        <v>84198821</v>
      </c>
      <c r="F8" s="199">
        <f>IF(Inputs!F26="","",Inputs!F26)</f>
        <v>77376859</v>
      </c>
      <c r="G8" s="199">
        <f>IF(Inputs!G26="","",Inputs!G26)</f>
        <v>0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27415069</v>
      </c>
      <c r="D9" s="151">
        <f t="shared" si="2"/>
        <v>20895637</v>
      </c>
      <c r="E9" s="151">
        <f t="shared" si="2"/>
        <v>17412235</v>
      </c>
      <c r="F9" s="151">
        <f t="shared" si="2"/>
        <v>14737019</v>
      </c>
      <c r="G9" s="151">
        <f t="shared" si="2"/>
        <v>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23852114</v>
      </c>
      <c r="D10" s="199">
        <f>IF(Inputs!D27="","",Inputs!D27)</f>
        <v>18320074</v>
      </c>
      <c r="E10" s="199">
        <f>IF(Inputs!E27="","",Inputs!E27)</f>
        <v>14230292</v>
      </c>
      <c r="F10" s="199">
        <f>IF(Inputs!F27="","",Inputs!F27)</f>
        <v>10798510</v>
      </c>
      <c r="G10" s="199">
        <f>IF(Inputs!G27="","",Inputs!G27)</f>
        <v>0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1.9882162853074953E-2</v>
      </c>
      <c r="D13" s="229">
        <f t="shared" si="3"/>
        <v>1.7406610648015131E-2</v>
      </c>
      <c r="E13" s="229">
        <f t="shared" si="3"/>
        <v>3.1314928958124398E-2</v>
      </c>
      <c r="F13" s="229">
        <f t="shared" si="3"/>
        <v>4.2756955689130793E-2</v>
      </c>
      <c r="G13" s="229" t="e">
        <f t="shared" si="3"/>
        <v>#DIV/0!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3562955</v>
      </c>
      <c r="D14" s="230">
        <f t="shared" ref="D14:M14" si="4">IF(D6="","",D9-D10-MAX(D11,0)-MAX(D12,0))</f>
        <v>2575563</v>
      </c>
      <c r="E14" s="230">
        <f t="shared" si="4"/>
        <v>3181943</v>
      </c>
      <c r="F14" s="230">
        <f t="shared" si="4"/>
        <v>3938509</v>
      </c>
      <c r="G14" s="230">
        <f t="shared" si="4"/>
        <v>0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0.38336938370367957</v>
      </c>
      <c r="D15" s="232">
        <f t="shared" ref="D15:M15" si="5">IF(E14="","",IF(ABS(D14+E14)=ABS(D14)+ABS(E14),IF(D14&lt;0,-1,1)*(D14-E14)/E14,"Turn"))</f>
        <v>-0.19056909567518965</v>
      </c>
      <c r="E15" s="232">
        <f t="shared" si="5"/>
        <v>-0.19209452104844751</v>
      </c>
      <c r="F15" s="232" t="e">
        <f t="shared" si="5"/>
        <v>#DIV/0!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e">
        <f t="shared" si="7"/>
        <v>#DIV/0!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3562955</v>
      </c>
      <c r="D22" s="161">
        <f t="shared" ref="D22:M22" si="8">IF(D6="","",D14-MAX(D16,0)-MAX(D17,0)-ABS(MAX(D21,0)-MAX(D19,0)))</f>
        <v>2575563</v>
      </c>
      <c r="E22" s="161">
        <f t="shared" si="8"/>
        <v>3181943</v>
      </c>
      <c r="F22" s="161">
        <f t="shared" si="8"/>
        <v>3938509</v>
      </c>
      <c r="G22" s="161">
        <f t="shared" si="8"/>
        <v>0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1.4911622139806216E-2</v>
      </c>
      <c r="D23" s="153">
        <f t="shared" si="9"/>
        <v>1.3054957986011348E-2</v>
      </c>
      <c r="E23" s="153">
        <f t="shared" si="9"/>
        <v>2.34861967185933E-2</v>
      </c>
      <c r="F23" s="153">
        <f t="shared" si="9"/>
        <v>3.2067716766848095E-2</v>
      </c>
      <c r="G23" s="153" t="e">
        <f t="shared" si="9"/>
        <v>#DIV/0!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2672216.25</v>
      </c>
      <c r="D24" s="77">
        <f>IF(D6="","",D22*(1-Fin_Analysis!$I$84))</f>
        <v>1931672.25</v>
      </c>
      <c r="E24" s="77">
        <f>IF(E6="","",E22*(1-Fin_Analysis!$I$84))</f>
        <v>2386457.25</v>
      </c>
      <c r="F24" s="77">
        <f>IF(F6="","",F22*(1-Fin_Analysis!$I$84))</f>
        <v>2953881.75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0.38336938370367957</v>
      </c>
      <c r="D25" s="233">
        <f t="shared" ref="D25:M25" si="10">IF(E24="","",IF(ABS(D24+E24)=ABS(D24)+ABS(E24),IF(D24&lt;0,-1,1)*(D24-E24)/E24,"Turn"))</f>
        <v>-0.19056909567518965</v>
      </c>
      <c r="E25" s="233">
        <f t="shared" si="10"/>
        <v>-0.19209452104844751</v>
      </c>
      <c r="F25" s="233" t="e">
        <f t="shared" si="10"/>
        <v>#DIV/0!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0.8470171903697109</v>
      </c>
      <c r="D42" s="156">
        <f t="shared" si="34"/>
        <v>0.85877952995082674</v>
      </c>
      <c r="E42" s="156">
        <f t="shared" si="34"/>
        <v>0.82863838163437653</v>
      </c>
      <c r="F42" s="156">
        <f t="shared" si="34"/>
        <v>0.84001304342001537</v>
      </c>
      <c r="G42" s="156" t="e">
        <f t="shared" si="34"/>
        <v>#DIV/0!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0.13310064677721414</v>
      </c>
      <c r="D43" s="153">
        <f t="shared" si="35"/>
        <v>0.12381385940115817</v>
      </c>
      <c r="E43" s="153">
        <f t="shared" si="35"/>
        <v>0.14004668940749912</v>
      </c>
      <c r="F43" s="153">
        <f t="shared" si="35"/>
        <v>0.11723000089085382</v>
      </c>
      <c r="G43" s="153" t="e">
        <f t="shared" si="35"/>
        <v>#DIV/0!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e">
        <f t="shared" si="36"/>
        <v>#DIV/0!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>
        <f t="shared" si="37"/>
        <v>0</v>
      </c>
      <c r="F45" s="153">
        <f t="shared" si="37"/>
        <v>0</v>
      </c>
      <c r="G45" s="153" t="e">
        <f t="shared" si="37"/>
        <v>#DIV/0!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e">
        <f t="shared" si="38"/>
        <v>#DIV/0!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e">
        <f t="shared" si="39"/>
        <v>#DIV/0!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1.9882162853074953E-2</v>
      </c>
      <c r="D48" s="153">
        <f t="shared" si="40"/>
        <v>1.7406610648015131E-2</v>
      </c>
      <c r="E48" s="153">
        <f t="shared" si="40"/>
        <v>3.1314928958124398E-2</v>
      </c>
      <c r="F48" s="153">
        <f t="shared" si="40"/>
        <v>4.2756955689130793E-2</v>
      </c>
      <c r="G48" s="153" t="e">
        <f t="shared" si="40"/>
        <v>#DIV/0!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>-</v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179203592</v>
      </c>
      <c r="D74" s="209"/>
      <c r="E74" s="238">
        <f>Inputs!E91</f>
        <v>179203592</v>
      </c>
      <c r="F74" s="209"/>
      <c r="H74" s="238">
        <f>Inputs!F91</f>
        <v>179203592</v>
      </c>
      <c r="I74" s="209"/>
      <c r="K74" s="24"/>
    </row>
    <row r="75" spans="1:11" ht="15" customHeight="1" x14ac:dyDescent="0.4">
      <c r="B75" s="104" t="s">
        <v>105</v>
      </c>
      <c r="C75" s="77">
        <f>Data!C8</f>
        <v>151788523</v>
      </c>
      <c r="D75" s="159">
        <f>C75/$C$74</f>
        <v>0.8470171903697109</v>
      </c>
      <c r="E75" s="238">
        <f>Inputs!E92</f>
        <v>151788523</v>
      </c>
      <c r="F75" s="160">
        <f>E75/E74</f>
        <v>0.8470171903697109</v>
      </c>
      <c r="H75" s="238">
        <f>Inputs!F92</f>
        <v>151788523</v>
      </c>
      <c r="I75" s="160">
        <f>H75/$H$74</f>
        <v>0.8470171903697109</v>
      </c>
      <c r="K75" s="24"/>
    </row>
    <row r="76" spans="1:11" ht="15" customHeight="1" x14ac:dyDescent="0.4">
      <c r="B76" s="35" t="s">
        <v>95</v>
      </c>
      <c r="C76" s="161">
        <f>C74-C75</f>
        <v>27415069</v>
      </c>
      <c r="D76" s="210"/>
      <c r="E76" s="162">
        <f>E74-E75</f>
        <v>27415069</v>
      </c>
      <c r="F76" s="210"/>
      <c r="H76" s="162">
        <f>H74-H75</f>
        <v>27415069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23852114</v>
      </c>
      <c r="D77" s="159">
        <f>C77/$C$74</f>
        <v>0.13310064677721414</v>
      </c>
      <c r="E77" s="238">
        <f>Inputs!E93</f>
        <v>23852114</v>
      </c>
      <c r="F77" s="160">
        <f>E77/E74</f>
        <v>0.13310064677721414</v>
      </c>
      <c r="H77" s="238">
        <f>Inputs!F93</f>
        <v>23852114</v>
      </c>
      <c r="I77" s="160">
        <f>H77/$H$74</f>
        <v>0.13310064677721414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3562955</v>
      </c>
      <c r="D79" s="258">
        <f>C79/C74</f>
        <v>1.9882162853074953E-2</v>
      </c>
      <c r="E79" s="259">
        <f>E76-E77-E78</f>
        <v>3562955</v>
      </c>
      <c r="F79" s="258">
        <f>E79/E74</f>
        <v>1.9882162853074953E-2</v>
      </c>
      <c r="G79" s="260"/>
      <c r="H79" s="259">
        <f>H76-H77-H78</f>
        <v>3562955</v>
      </c>
      <c r="I79" s="258">
        <f>H79/H74</f>
        <v>1.9882162853074953E-2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3562955</v>
      </c>
      <c r="D83" s="164">
        <f>C83/$C$74</f>
        <v>1.9882162853074953E-2</v>
      </c>
      <c r="E83" s="165">
        <f>E79-E81-E82-E80</f>
        <v>3562955</v>
      </c>
      <c r="F83" s="164">
        <f>E83/E74</f>
        <v>1.9882162853074953E-2</v>
      </c>
      <c r="H83" s="165">
        <f>H79-H81-H82-H80</f>
        <v>3562955</v>
      </c>
      <c r="I83" s="164">
        <f>H83/$H$74</f>
        <v>1.9882162853074953E-2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2672216.25</v>
      </c>
      <c r="D85" s="258">
        <f>C85/$C$74</f>
        <v>1.4911622139806216E-2</v>
      </c>
      <c r="E85" s="264">
        <f>E83*(1-F84)</f>
        <v>2672216.25</v>
      </c>
      <c r="F85" s="258">
        <f>E85/E74</f>
        <v>1.4911622139806216E-2</v>
      </c>
      <c r="G85" s="260"/>
      <c r="H85" s="264">
        <f>H83*(1-I84)</f>
        <v>2672216.25</v>
      </c>
      <c r="I85" s="258">
        <f>H85/$H$74</f>
        <v>1.4911622139806216E-2</v>
      </c>
      <c r="K85" s="24"/>
    </row>
    <row r="86" spans="1:11" ht="15" customHeight="1" x14ac:dyDescent="0.4">
      <c r="B86" s="87" t="s">
        <v>160</v>
      </c>
      <c r="C86" s="167">
        <f>C85*Data!C4/Common_Shares</f>
        <v>0.26531927307671482</v>
      </c>
      <c r="D86" s="209"/>
      <c r="E86" s="168">
        <f>E85*Data!C4/Common_Shares</f>
        <v>0.26531927307671482</v>
      </c>
      <c r="F86" s="209"/>
      <c r="H86" s="168">
        <f>H85*Data!C4/Common_Shares</f>
        <v>0.26531927307671482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1.8736955813366728E-2</v>
      </c>
      <c r="D87" s="209"/>
      <c r="E87" s="262">
        <f>E86*Exchange_Rate/Dashboard!G3</f>
        <v>1.8736955813366728E-2</v>
      </c>
      <c r="F87" s="209"/>
      <c r="H87" s="262">
        <f>H86*Exchange_Rate/Dashboard!G3</f>
        <v>1.8736955813366728E-2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0.19021246747798443</v>
      </c>
      <c r="D88" s="166">
        <f>C88/C86</f>
        <v>0.71691914903967835</v>
      </c>
      <c r="E88" s="170">
        <f>Inputs!E98</f>
        <v>0.19021246747798443</v>
      </c>
      <c r="F88" s="166">
        <f>E88/E86</f>
        <v>0.71691914903967835</v>
      </c>
      <c r="H88" s="170">
        <f>Inputs!F98</f>
        <v>0.19021246747798443</v>
      </c>
      <c r="I88" s="166">
        <f>H88/H86</f>
        <v>0.71691914903967835</v>
      </c>
      <c r="K88" s="24"/>
    </row>
    <row r="89" spans="1:11" ht="15" customHeight="1" x14ac:dyDescent="0.4">
      <c r="B89" s="87" t="s">
        <v>221</v>
      </c>
      <c r="C89" s="261">
        <f>C88*Exchange_Rate/Dashboard!G3</f>
        <v>1.3432882417312927E-2</v>
      </c>
      <c r="D89" s="209"/>
      <c r="E89" s="261">
        <f>E88*Exchange_Rate/Dashboard!G3</f>
        <v>1.3432882417312927E-2</v>
      </c>
      <c r="F89" s="209"/>
      <c r="H89" s="261">
        <f>H88*Exchange_Rate/Dashboard!G3</f>
        <v>1.3432882417312927E-2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209</v>
      </c>
      <c r="F93" s="144">
        <f>FV(E87,D93,0,-(E86/(C93-D94)))*Exchange_Rate</f>
        <v>5.1343262430418903</v>
      </c>
      <c r="H93" s="87" t="s">
        <v>209</v>
      </c>
      <c r="I93" s="144">
        <f>FV(H87,D93,0,-(H86/(C93-D94)))*Exchange_Rate</f>
        <v>5.1343262430418903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3.5860661339905535</v>
      </c>
      <c r="H94" s="87" t="s">
        <v>210</v>
      </c>
      <c r="I94" s="144">
        <f>FV(H89,D93,0,-(H88/(C93-D94)))*Exchange_Rate</f>
        <v>3.5860661339905535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25709703.084013578</v>
      </c>
      <c r="D97" s="213"/>
      <c r="E97" s="123">
        <f>PV(C94,D93,0,-F93)</f>
        <v>2.5526675594719013</v>
      </c>
      <c r="F97" s="213"/>
      <c r="H97" s="123">
        <f>PV(C94,D93,0,-I93)</f>
        <v>2.5526675594719013</v>
      </c>
      <c r="I97" s="123">
        <f>PV(C93,D93,0,-I93)</f>
        <v>3.4842427727047149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25709703.084013578</v>
      </c>
      <c r="D100" s="109">
        <f>MIN(F100*(1-C94),E100)</f>
        <v>2.1697674255511159</v>
      </c>
      <c r="E100" s="109">
        <f>MAX(E97+H98+E99,0)</f>
        <v>2.5526675594719013</v>
      </c>
      <c r="F100" s="109">
        <f>(E100+H100)/2</f>
        <v>2.5526675594719013</v>
      </c>
      <c r="H100" s="109">
        <f>MAX(C100*Data!$C$4/Common_Shares,0)</f>
        <v>2.5526675594719013</v>
      </c>
      <c r="I100" s="109">
        <f>MAX(I97+H98+H99,0)</f>
        <v>3.4842427727047149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17956921.936832469</v>
      </c>
      <c r="D103" s="109">
        <f>MIN(F103*(1-C94),E103)</f>
        <v>1.5154723551020055</v>
      </c>
      <c r="E103" s="123">
        <f>PV(C94,D93,0,-F94)</f>
        <v>1.7829086530611831</v>
      </c>
      <c r="F103" s="109">
        <f>(E103+H103)/2</f>
        <v>1.7829086530611831</v>
      </c>
      <c r="H103" s="123">
        <f>PV(C94,D93,0,-I94)</f>
        <v>1.7829086530611831</v>
      </c>
      <c r="I103" s="109">
        <f>PV(C93,D93,0,-I94)</f>
        <v>2.4335666294542051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21833312.510423023</v>
      </c>
      <c r="D106" s="109">
        <f>(D100+D103)/2</f>
        <v>1.8426198903265607</v>
      </c>
      <c r="E106" s="123">
        <f>(E100+E103)/2</f>
        <v>2.1677881062665421</v>
      </c>
      <c r="F106" s="109">
        <f>(F100+F103)/2</f>
        <v>2.1677881062665421</v>
      </c>
      <c r="H106" s="123">
        <f>(H100+H103)/2</f>
        <v>2.1677881062665421</v>
      </c>
      <c r="I106" s="123">
        <f>(I100+I103)/2</f>
        <v>2.9589047010794598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