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94FD70D-B78A-4C36-8CCA-0EF282A68E67}" xr6:coauthVersionLast="47" xr6:coauthVersionMax="47" xr10:uidLastSave="{00000000-0000-0000-0000-000000000000}"/>
  <bookViews>
    <workbookView xWindow="-98" yWindow="-98" windowWidth="17115" windowHeight="10755" activeTab="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H32" i="4" l="1"/>
  <c r="G32" i="4"/>
  <c r="H31" i="4"/>
  <c r="G31" i="4"/>
  <c r="F32" i="4"/>
  <c r="E32" i="4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M52" i="2"/>
  <c r="D53" i="4" l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F98" i="4" s="1"/>
  <c r="E98" i="4" s="1"/>
  <c r="D93" i="3"/>
  <c r="C108" i="3"/>
  <c r="C93" i="4"/>
  <c r="C92" i="4"/>
  <c r="C91" i="4"/>
  <c r="F91" i="4" l="1"/>
  <c r="E91" i="4"/>
  <c r="I12" i="2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F52" i="2" l="1"/>
  <c r="G52" i="2"/>
  <c r="E52" i="2"/>
  <c r="C52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F97" i="4" s="1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F92" i="4" l="1"/>
  <c r="E92" i="4"/>
  <c r="F93" i="4"/>
  <c r="E93" i="4"/>
  <c r="H77" i="3"/>
  <c r="H75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E48" i="2"/>
  <c r="C34" i="2"/>
  <c r="C33" i="2"/>
  <c r="C47" i="3"/>
  <c r="C45" i="3"/>
  <c r="C27" i="3"/>
  <c r="C26" i="3"/>
  <c r="C44" i="3"/>
  <c r="C46" i="3"/>
  <c r="F96" i="4" l="1"/>
  <c r="H80" i="3" s="1"/>
  <c r="I80" i="3" s="1"/>
  <c r="C35" i="2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C23" i="1" l="1"/>
  <c r="F80" i="3"/>
  <c r="E80" i="3" s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F94" i="4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F95" i="4" l="1"/>
  <c r="H82" i="3" s="1"/>
  <c r="E95" i="4"/>
  <c r="E82" i="3"/>
  <c r="E83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D106" i="3"/>
  <c r="C29" i="1" s="1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<sst xmlns="http://schemas.openxmlformats.org/spreadsheetml/2006/main" count="391" uniqueCount="272">
  <si>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</si>
  <si>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</si>
  <si>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</si>
  <si>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</si>
  <si>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</si>
  <si>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</si>
  <si>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</si>
  <si>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</si>
  <si>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</si>
  <si>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</si>
  <si>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</si>
  <si>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</si>
  <si>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</si>
  <si>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</si>
  <si>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</si>
  <si>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</si>
  <si>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</si>
  <si>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</si>
  <si>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</si>
  <si>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</si>
  <si>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</si>
  <si>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</si>
  <si>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</si>
  <si>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</si>
  <si>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</si>
  <si>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</si>
  <si>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</si>
  <si>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</si>
  <si>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</si>
  <si>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</si>
  <si>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</si>
  <si>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</si>
  <si>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</si>
  <si>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</si>
  <si>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</si>
  <si>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</si>
  <si>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</si>
  <si>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</si>
  <si>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</si>
  <si>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</si>
  <si>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</si>
  <si>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</si>
  <si>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</si>
  <si>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</si>
  <si>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</si>
  <si>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</si>
  <si>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</si>
  <si>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</si>
  <si>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</si>
  <si>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</si>
  <si>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</si>
  <si>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</si>
  <si>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</si>
  <si>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</si>
  <si>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</si>
  <si>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</si>
  <si>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</si>
  <si>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</si>
  <si>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</si>
  <si>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</si>
  <si>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</si>
  <si>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</si>
  <si>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</si>
  <si>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</si>
  <si>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</si>
  <si>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</si>
  <si>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</si>
  <si>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</si>
  <si>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</si>
  <si>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</si>
  <si>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</si>
  <si>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</si>
  <si>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</si>
  <si>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</si>
  <si>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</si>
  <si>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</si>
  <si>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</si>
  <si>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</si>
  <si>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</si>
  <si>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</si>
  <si>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</si>
  <si>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</si>
  <si>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</si>
  <si>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</si>
  <si>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</si>
  <si>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</si>
  <si>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</si>
  <si>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</si>
  <si>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</si>
  <si>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</si>
  <si>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</si>
  <si>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</si>
  <si>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</si>
  <si>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</si>
  <si>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</si>
  <si>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</si>
  <si>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</si>
  <si>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</si>
  <si>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</si>
  <si>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</si>
  <si>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</si>
  <si>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</si>
  <si>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</si>
  <si>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</si>
  <si>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</si>
  <si>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</si>
  <si>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</si>
  <si>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</si>
  <si>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</si>
  <si>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</si>
  <si>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</si>
  <si>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</si>
  <si>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</si>
  <si>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</si>
  <si>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</si>
  <si>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</si>
  <si>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</si>
  <si>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</si>
  <si>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</si>
  <si>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</si>
  <si>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</si>
  <si>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</si>
  <si>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</si>
  <si>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</si>
  <si>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</si>
  <si>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</si>
  <si>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</si>
  <si>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</si>
  <si>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</si>
  <si>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</si>
  <si>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</si>
  <si>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</si>
  <si>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</si>
  <si>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</si>
  <si>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</si>
  <si>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</si>
  <si>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</si>
  <si>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</si>
  <si>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</si>
  <si>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</si>
  <si>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</si>
  <si>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</si>
  <si>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</si>
  <si>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</si>
  <si>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</si>
  <si>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</si>
  <si>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</si>
  <si>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</si>
  <si>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</si>
  <si>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</si>
  <si>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</si>
  <si>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</si>
  <si>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</si>
  <si>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</si>
  <si>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</si>
  <si>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</si>
  <si>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</si>
  <si>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</si>
  <si>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</si>
  <si>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</si>
  <si>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</si>
  <si>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</si>
  <si>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</si>
  <si>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</si>
  <si>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</si>
  <si>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</si>
  <si>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</si>
  <si>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</si>
  <si>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</si>
  <si>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</si>
  <si>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</si>
  <si>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</si>
  <si>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</si>
  <si>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</si>
  <si>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</si>
  <si>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</si>
  <si>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</si>
  <si>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</si>
  <si>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</si>
  <si>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</si>
  <si>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</si>
  <si>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</si>
  <si>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</si>
  <si>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</si>
  <si>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</si>
  <si>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</si>
  <si>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</si>
  <si>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</si>
  <si>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</si>
  <si>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</si>
  <si>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</si>
  <si>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</si>
  <si>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</si>
  <si>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</si>
  <si>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</si>
  <si>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</si>
  <si>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</si>
  <si>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</si>
  <si>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</si>
  <si>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</si>
  <si>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</si>
  <si>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</si>
  <si>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</si>
  <si>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</si>
  <si>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</si>
  <si>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</si>
  <si>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</si>
  <si>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</si>
  <si>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</si>
  <si>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</si>
  <si>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</si>
  <si>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</si>
  <si>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</si>
  <si>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</si>
  <si>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</si>
  <si>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</si>
  <si>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</si>
  <si>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</si>
  <si>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</si>
  <si>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</si>
  <si>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</si>
  <si>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</si>
  <si>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</si>
  <si>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</si>
  <si>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</si>
  <si>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</si>
  <si>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</si>
  <si>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</si>
  <si>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</si>
  <si>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</si>
  <si>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</si>
  <si>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</si>
  <si>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</si>
  <si>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</si>
  <si>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</si>
  <si>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</si>
  <si>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</si>
  <si>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</si>
  <si>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</si>
  <si>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</si>
  <si>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</si>
  <si>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</si>
  <si>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</si>
  <si>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</si>
  <si>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</si>
  <si>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</si>
  <si>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</si>
  <si>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</si>
  <si>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</si>
  <si>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</si>
  <si>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</si>
  <si>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</si>
  <si>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</si>
  <si>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</si>
  <si>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</si>
  <si>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</si>
  <si>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</si>
  <si>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</si>
  <si>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</si>
  <si>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</si>
  <si>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</si>
  <si>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</si>
  <si>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0179.HK</t>
  </si>
  <si>
    <t>德昌電機</t>
  </si>
  <si>
    <t xml:space="preserve">Superior Cycl. </t>
  </si>
  <si>
    <t>C0006</t>
  </si>
  <si>
    <t>USD</t>
  </si>
  <si>
    <t>Strongly agree</t>
  </si>
  <si>
    <t>agree</t>
  </si>
  <si>
    <t>Consumer Monopoly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</si>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</sst>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0.77696054205677556</c:v>
                </c:pt>
                <c:pt idx="1">
                  <c:v>0.14204607870614464</c:v>
                </c:pt>
                <c:pt idx="2">
                  <c:v>1.0871617989521474E-3</c:v>
                </c:pt>
                <c:pt idx="3">
                  <c:v>0</c:v>
                </c:pt>
                <c:pt idx="4">
                  <c:v>8.274315042185636E-3</c:v>
                </c:pt>
                <c:pt idx="5">
                  <c:v>1.8876764354796127E-2</c:v>
                </c:pt>
                <c:pt idx="6">
                  <c:v>5.275513804114592E-2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11" zoomScaleNormal="100" workbookViewId="0">
      <selection activeCell="H34" sqref="H34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262</v>
      </c>
    </row>
    <row r="5" spans="1:5" ht="13.9" x14ac:dyDescent="0.4">
      <c r="B5" s="141" t="s">
        <v>195</v>
      </c>
      <c r="C5" s="191" t="s">
        <v>263</v>
      </c>
    </row>
    <row r="6" spans="1:5" ht="13.9" x14ac:dyDescent="0.4">
      <c r="B6" s="141" t="s">
        <v>163</v>
      </c>
      <c r="C6" s="189">
        <v>45593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264</v>
      </c>
      <c r="E8" s="267"/>
    </row>
    <row r="9" spans="1:5" ht="13.9" x14ac:dyDescent="0.4">
      <c r="B9" s="140" t="s">
        <v>216</v>
      </c>
      <c r="C9" s="192" t="s">
        <v>265</v>
      </c>
    </row>
    <row r="10" spans="1:5" ht="13.9" x14ac:dyDescent="0.4">
      <c r="B10" s="140" t="s">
        <v>217</v>
      </c>
      <c r="C10" s="193">
        <v>934412034</v>
      </c>
    </row>
    <row r="11" spans="1:5" ht="13.9" x14ac:dyDescent="0.4">
      <c r="B11" s="140" t="s">
        <v>218</v>
      </c>
      <c r="C11" s="192" t="s">
        <v>266</v>
      </c>
    </row>
    <row r="12" spans="1:5" ht="13.9" x14ac:dyDescent="0.4">
      <c r="B12" s="218" t="s">
        <v>9</v>
      </c>
      <c r="C12" s="219">
        <v>45382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45565</v>
      </c>
    </row>
    <row r="15" spans="1:5" ht="13.9" x14ac:dyDescent="0.4">
      <c r="B15" s="218" t="s">
        <v>255</v>
      </c>
      <c r="C15" s="176" t="s">
        <v>189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267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268</v>
      </c>
      <c r="D19" s="24"/>
    </row>
    <row r="20" spans="2:13" ht="13.9" x14ac:dyDescent="0.4">
      <c r="B20" s="241" t="s">
        <v>228</v>
      </c>
      <c r="C20" s="242" t="s">
        <v>268</v>
      </c>
      <c r="D20" s="24"/>
    </row>
    <row r="21" spans="2:13" ht="13.9" x14ac:dyDescent="0.4">
      <c r="B21" s="224" t="s">
        <v>231</v>
      </c>
      <c r="C21" s="242" t="s">
        <v>267</v>
      </c>
      <c r="D21" s="24"/>
    </row>
    <row r="22" spans="2:13" ht="78.75" x14ac:dyDescent="0.4">
      <c r="B22" s="226" t="s">
        <v>230</v>
      </c>
      <c r="C22" s="243" t="s">
        <v>269</v>
      </c>
      <c r="D22" s="24"/>
    </row>
    <row r="24" spans="2:13" ht="13.9" x14ac:dyDescent="0.4">
      <c r="B24" s="115" t="s">
        <v>133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11</v>
      </c>
      <c r="C25" s="149">
        <v>3814213</v>
      </c>
      <c r="D25" s="149">
        <v>3646119</v>
      </c>
      <c r="E25" s="149">
        <v>3446055</v>
      </c>
      <c r="F25" s="149">
        <v>3156163</v>
      </c>
      <c r="G25" s="149">
        <v>3070485</v>
      </c>
      <c r="H25" s="149">
        <v>3280381</v>
      </c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2963493</v>
      </c>
      <c r="D26" s="150">
        <v>2930208</v>
      </c>
      <c r="E26" s="150">
        <v>2744148</v>
      </c>
      <c r="F26" s="150">
        <v>2432869</v>
      </c>
      <c r="G26" s="150">
        <v>2398222</v>
      </c>
      <c r="H26" s="150">
        <v>2528935</v>
      </c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541794</v>
      </c>
      <c r="D27" s="150">
        <v>556427</v>
      </c>
      <c r="E27" s="150">
        <v>543403</v>
      </c>
      <c r="F27" s="150">
        <v>467260</v>
      </c>
      <c r="G27" s="150">
        <v>452634</v>
      </c>
      <c r="H27" s="150">
        <v>486140</v>
      </c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31560</v>
      </c>
      <c r="D29" s="150">
        <v>21677</v>
      </c>
      <c r="E29" s="150">
        <v>20063</v>
      </c>
      <c r="F29" s="150">
        <v>13516</v>
      </c>
      <c r="G29" s="150">
        <v>19614</v>
      </c>
      <c r="H29" s="150">
        <v>18362</v>
      </c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3110</v>
      </c>
      <c r="D30" s="150">
        <v>3460</v>
      </c>
      <c r="E30" s="150">
        <v>5843</v>
      </c>
      <c r="F30" s="150">
        <v>7158</v>
      </c>
      <c r="G30" s="150">
        <v>6786</v>
      </c>
      <c r="H30" s="150">
        <v>8330</v>
      </c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>
        <v>-70259</v>
      </c>
      <c r="D31" s="150">
        <v>-27525</v>
      </c>
      <c r="E31" s="150">
        <v>233698</v>
      </c>
      <c r="F31" s="150">
        <v>42431</v>
      </c>
      <c r="G31" s="150">
        <f>-81917</f>
        <v>-81917</v>
      </c>
      <c r="H31" s="150">
        <f>-17970</f>
        <v>-17970</v>
      </c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>
        <v>274900</v>
      </c>
      <c r="D32" s="150">
        <v>274200</v>
      </c>
      <c r="E32" s="150">
        <f>248096+35189</f>
        <v>283285</v>
      </c>
      <c r="F32" s="150">
        <f>219704+31327</f>
        <v>251031</v>
      </c>
      <c r="G32" s="150">
        <f>203765+41376</f>
        <v>245141</v>
      </c>
      <c r="H32" s="150">
        <f>162220+42152</f>
        <v>204372</v>
      </c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>
        <v>184900</v>
      </c>
      <c r="D33" s="150">
        <v>226600</v>
      </c>
      <c r="E33" s="150">
        <v>316400</v>
      </c>
      <c r="F33" s="150">
        <v>263600</v>
      </c>
      <c r="G33" s="150">
        <v>282100</v>
      </c>
      <c r="H33" s="150">
        <v>391400</v>
      </c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0.0564+0.0218</f>
        <v>7.8199999999999992E-2</v>
      </c>
      <c r="D44" s="250">
        <f>0.0436+0.0218</f>
        <v>6.54E-2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5.6505509055089186E-2</v>
      </c>
      <c r="D45" s="152">
        <f>IF(D44="","",D44*Exchange_Rate/Dashboard!$G$3)</f>
        <v>4.7256525475739546E-2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260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259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270</v>
      </c>
      <c r="D87" s="269">
        <v>0.02</v>
      </c>
    </row>
    <row r="89" spans="2:8" ht="13.5" x14ac:dyDescent="0.35">
      <c r="B89" s="106" t="s">
        <v>127</v>
      </c>
      <c r="C89" s="271">
        <f>C24</f>
        <v>45382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3814213</v>
      </c>
      <c r="D91" s="209"/>
      <c r="E91" s="251">
        <f>C91</f>
        <v>3814213</v>
      </c>
      <c r="F91" s="251">
        <f>C91</f>
        <v>3814213</v>
      </c>
    </row>
    <row r="92" spans="2:8" ht="13.9" x14ac:dyDescent="0.4">
      <c r="B92" s="104" t="s">
        <v>105</v>
      </c>
      <c r="C92" s="77">
        <f>C26</f>
        <v>2963493</v>
      </c>
      <c r="D92" s="159">
        <f>C92/C91</f>
        <v>0.77696054205677556</v>
      </c>
      <c r="E92" s="252">
        <f>E91*D92</f>
        <v>2963493</v>
      </c>
      <c r="F92" s="252">
        <f>F91*D92</f>
        <v>2963493</v>
      </c>
    </row>
    <row r="93" spans="2:8" ht="13.9" x14ac:dyDescent="0.4">
      <c r="B93" s="104" t="s">
        <v>247</v>
      </c>
      <c r="C93" s="77">
        <f>C27+C28</f>
        <v>541794</v>
      </c>
      <c r="D93" s="159">
        <f>C93/C91</f>
        <v>0.14204607870614464</v>
      </c>
      <c r="E93" s="252">
        <f>E91*D93</f>
        <v>541794</v>
      </c>
      <c r="F93" s="252">
        <f>F91*D93</f>
        <v>541794</v>
      </c>
    </row>
    <row r="94" spans="2:8" ht="13.9" x14ac:dyDescent="0.4">
      <c r="B94" s="104" t="s">
        <v>256</v>
      </c>
      <c r="C94" s="77">
        <f>C29</f>
        <v>31560</v>
      </c>
      <c r="D94" s="159">
        <f>C94/C91</f>
        <v>8.274315042185636E-3</v>
      </c>
      <c r="E94" s="253"/>
      <c r="F94" s="252">
        <f>F91*D94</f>
        <v>31560</v>
      </c>
    </row>
    <row r="95" spans="2:8" ht="13.9" x14ac:dyDescent="0.4">
      <c r="B95" s="28" t="s">
        <v>246</v>
      </c>
      <c r="C95" s="77">
        <f>ABS(MAX(C33,0)-C32)</f>
        <v>90000</v>
      </c>
      <c r="D95" s="159">
        <f>C95/C91</f>
        <v>2.3595955443495159E-2</v>
      </c>
      <c r="E95" s="252">
        <f>E91*D95</f>
        <v>90000</v>
      </c>
      <c r="F95" s="252">
        <f>F91*D95*0.8</f>
        <v>72000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4146.666666666667</v>
      </c>
      <c r="D97" s="159">
        <f>C97/C91</f>
        <v>1.0871617989521474E-3</v>
      </c>
      <c r="E97" s="253"/>
      <c r="F97" s="252">
        <f>F91*D97</f>
        <v>4146.666666666667</v>
      </c>
    </row>
    <row r="98" spans="2:7" ht="13.9" x14ac:dyDescent="0.4">
      <c r="B98" s="86" t="s">
        <v>207</v>
      </c>
      <c r="C98" s="237">
        <f>C44</f>
        <v>7.8199999999999992E-2</v>
      </c>
      <c r="D98" s="266"/>
      <c r="E98" s="254">
        <f>F98</f>
        <v>7.8199999999999992E-2</v>
      </c>
      <c r="F98" s="254">
        <f>C98</f>
        <v>7.8199999999999992E-2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12" sqref="C1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0179.HK : 德昌電機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0179.HK</v>
      </c>
      <c r="D3" s="278"/>
      <c r="E3" s="87"/>
      <c r="F3" s="3" t="s">
        <v>1</v>
      </c>
      <c r="G3" s="132">
        <v>10.76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德昌電機</v>
      </c>
      <c r="D4" s="280"/>
      <c r="E4" s="87"/>
      <c r="F4" s="3" t="s">
        <v>2</v>
      </c>
      <c r="G4" s="283">
        <f>Inputs!C10</f>
        <v>934412034</v>
      </c>
      <c r="H4" s="283"/>
      <c r="I4" s="39"/>
    </row>
    <row r="5" spans="1:10" ht="15.75" customHeight="1" x14ac:dyDescent="0.4">
      <c r="B5" s="3" t="s">
        <v>163</v>
      </c>
      <c r="C5" s="281">
        <f>Inputs!C6</f>
        <v>45593</v>
      </c>
      <c r="D5" s="282"/>
      <c r="E5" s="34"/>
      <c r="F5" s="35" t="s">
        <v>99</v>
      </c>
      <c r="G5" s="275">
        <f>G3*G4/1000000</f>
        <v>10054.27348584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45808</v>
      </c>
      <c r="E6" s="51">
        <f>IF(Fin_Analysis!E9="FY",Fin_Analysis!D9,Data!C3)</f>
        <v>45382</v>
      </c>
      <c r="F6" s="3" t="s">
        <v>4</v>
      </c>
      <c r="G6" s="276" t="str">
        <f>Inputs!C11</f>
        <v>USD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C0006</v>
      </c>
      <c r="E7" s="87"/>
      <c r="F7" s="35" t="s">
        <v>5</v>
      </c>
      <c r="G7" s="133">
        <v>7.7749268213907881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HK</v>
      </c>
      <c r="F16" s="110" t="s">
        <v>178</v>
      </c>
    </row>
    <row r="17" spans="1:8" ht="15.75" customHeight="1" thickTop="1" x14ac:dyDescent="0.4">
      <c r="B17" s="87" t="s">
        <v>254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0.77696054205677556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0.14204607870614464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1.0871617989521474E-3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8.274315042185636E-3</v>
      </c>
      <c r="F24" s="140" t="s">
        <v>258</v>
      </c>
      <c r="G24" s="268">
        <f>G3/(Fin_Analysis!H86*G7)</f>
        <v>8.5688672554430134</v>
      </c>
    </row>
    <row r="25" spans="1:8" ht="15.75" customHeight="1" x14ac:dyDescent="0.4">
      <c r="B25" s="137" t="s">
        <v>243</v>
      </c>
      <c r="C25" s="171">
        <f>Fin_Analysis!I82</f>
        <v>1.8876764354796127E-2</v>
      </c>
      <c r="F25" s="140" t="s">
        <v>174</v>
      </c>
      <c r="G25" s="171">
        <f>Fin_Analysis!I88</f>
        <v>0.48418820629429243</v>
      </c>
    </row>
    <row r="26" spans="1:8" ht="15.75" customHeight="1" x14ac:dyDescent="0.4">
      <c r="B26" s="138" t="s">
        <v>173</v>
      </c>
      <c r="C26" s="171">
        <f>Fin_Analysis!I83</f>
        <v>5.275513804114592E-2</v>
      </c>
      <c r="F26" s="141" t="s">
        <v>193</v>
      </c>
      <c r="G26" s="178">
        <f>Fin_Analysis!H88*Exchange_Rate/G3</f>
        <v>5.6505509055089186E-2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9.8908738281228672</v>
      </c>
      <c r="D29" s="129">
        <f>G29*(1+G20)</f>
        <v>19.18623369421006</v>
      </c>
      <c r="E29" s="87"/>
      <c r="F29" s="131">
        <f>IF(Fin_Analysis!C108="Profit",Fin_Analysis!F100,IF(Fin_Analysis!C108="Dividend",Fin_Analysis!F103,Fin_Analysis!F106))</f>
        <v>11.636322150732784</v>
      </c>
      <c r="G29" s="274">
        <f>IF(Fin_Analysis!C108="Profit",Fin_Analysis!I100,IF(Fin_Analysis!C108="Dividend",Fin_Analysis!I103,Fin_Analysis!I106))</f>
        <v>16.683681473226141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topLeftCell="A10" zoomScaleNormal="100" workbookViewId="0">
      <pane xSplit="2" topLeftCell="C1" activePane="topRight" state="frozen"/>
      <selection activeCell="A4" sqref="A4"/>
      <selection pane="topRight" activeCell="D15" sqref="D1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45382</v>
      </c>
      <c r="E3" s="146" t="s">
        <v>200</v>
      </c>
      <c r="F3" s="85">
        <f>H14</f>
        <v>254199.33333333334</v>
      </c>
      <c r="G3" s="85">
        <f>C14</f>
        <v>304779.33333333331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6" t="s">
        <v>201</v>
      </c>
      <c r="F4" s="93">
        <f>(G3/F3)^(1/H3)-1</f>
        <v>3.0706902789447099E-2</v>
      </c>
      <c r="J4" s="87"/>
    </row>
    <row r="5" spans="1:14" ht="15.75" customHeight="1" x14ac:dyDescent="0.4">
      <c r="A5" s="16"/>
      <c r="B5" s="115" t="s">
        <v>133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11</v>
      </c>
      <c r="C6" s="200">
        <f>IF(Inputs!C25=""," ",Inputs!C25)</f>
        <v>3814213</v>
      </c>
      <c r="D6" s="200">
        <f>IF(Inputs!D25="","",Inputs!D25)</f>
        <v>3646119</v>
      </c>
      <c r="E6" s="200">
        <f>IF(Inputs!E25="","",Inputs!E25)</f>
        <v>3446055</v>
      </c>
      <c r="F6" s="200">
        <f>IF(Inputs!F25="","",Inputs!F25)</f>
        <v>3156163</v>
      </c>
      <c r="G6" s="200">
        <f>IF(Inputs!G25="","",Inputs!G25)</f>
        <v>3070485</v>
      </c>
      <c r="H6" s="200">
        <f>IF(Inputs!H25="","",Inputs!H25)</f>
        <v>3280381</v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4.6102170554499278E-2</v>
      </c>
      <c r="D7" s="92">
        <f t="shared" si="1"/>
        <v>5.8055950935199885E-2</v>
      </c>
      <c r="E7" s="92">
        <f t="shared" si="1"/>
        <v>9.1849502069443201E-2</v>
      </c>
      <c r="F7" s="92">
        <f t="shared" si="1"/>
        <v>2.7903735077683178E-2</v>
      </c>
      <c r="G7" s="92">
        <f t="shared" si="1"/>
        <v>-6.3985250493768908E-2</v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2963493</v>
      </c>
      <c r="D8" s="199">
        <f>IF(Inputs!D26="","",Inputs!D26)</f>
        <v>2930208</v>
      </c>
      <c r="E8" s="199">
        <f>IF(Inputs!E26="","",Inputs!E26)</f>
        <v>2744148</v>
      </c>
      <c r="F8" s="199">
        <f>IF(Inputs!F26="","",Inputs!F26)</f>
        <v>2432869</v>
      </c>
      <c r="G8" s="199">
        <f>IF(Inputs!G26="","",Inputs!G26)</f>
        <v>2398222</v>
      </c>
      <c r="H8" s="199">
        <f>IF(Inputs!H26="","",Inputs!H26)</f>
        <v>2528935</v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850720</v>
      </c>
      <c r="D9" s="151">
        <f t="shared" si="2"/>
        <v>715911</v>
      </c>
      <c r="E9" s="151">
        <f t="shared" si="2"/>
        <v>701907</v>
      </c>
      <c r="F9" s="151">
        <f t="shared" si="2"/>
        <v>723294</v>
      </c>
      <c r="G9" s="151">
        <f t="shared" si="2"/>
        <v>672263</v>
      </c>
      <c r="H9" s="151">
        <f t="shared" si="2"/>
        <v>751446</v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541794</v>
      </c>
      <c r="D10" s="199">
        <f>IF(Inputs!D27="","",Inputs!D27)</f>
        <v>556427</v>
      </c>
      <c r="E10" s="199">
        <f>IF(Inputs!E27="","",Inputs!E27)</f>
        <v>543403</v>
      </c>
      <c r="F10" s="199">
        <f>IF(Inputs!F27="","",Inputs!F27)</f>
        <v>467260</v>
      </c>
      <c r="G10" s="199">
        <f>IF(Inputs!G27="","",Inputs!G27)</f>
        <v>452634</v>
      </c>
      <c r="H10" s="199">
        <f>IF(Inputs!H27="","",Inputs!H27)</f>
        <v>486140</v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4146.666666666667</v>
      </c>
      <c r="D12" s="199">
        <f>IF(Inputs!D30="","",MAX(Inputs!D30,0)/(1-Fin_Analysis!$I$84))</f>
        <v>4613.333333333333</v>
      </c>
      <c r="E12" s="199">
        <f>IF(Inputs!E30="","",MAX(Inputs!E30,0)/(1-Fin_Analysis!$I$84))</f>
        <v>7790.666666666667</v>
      </c>
      <c r="F12" s="199">
        <f>IF(Inputs!F30="","",MAX(Inputs!F30,0)/(1-Fin_Analysis!$I$84))</f>
        <v>9544</v>
      </c>
      <c r="G12" s="199">
        <f>IF(Inputs!G30="","",MAX(Inputs!G30,0)/(1-Fin_Analysis!$I$84))</f>
        <v>9048</v>
      </c>
      <c r="H12" s="199">
        <f>IF(Inputs!H30="","",MAX(Inputs!H30,0)/(1-Fin_Analysis!$I$84))</f>
        <v>11106.666666666666</v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7.9906217438127689E-2</v>
      </c>
      <c r="D13" s="229">
        <f t="shared" si="3"/>
        <v>4.2475483292417682E-2</v>
      </c>
      <c r="E13" s="229">
        <f t="shared" si="3"/>
        <v>4.3735034215453134E-2</v>
      </c>
      <c r="F13" s="229">
        <f t="shared" si="3"/>
        <v>7.8097994305110358E-2</v>
      </c>
      <c r="G13" s="229">
        <f t="shared" si="3"/>
        <v>6.858232494215083E-2</v>
      </c>
      <c r="H13" s="229">
        <f t="shared" si="3"/>
        <v>7.749079553055982E-2</v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304779.33333333331</v>
      </c>
      <c r="D14" s="230">
        <f t="shared" ref="D14:M14" si="4">IF(D6="","",D9-D10-MAX(D11,0)-MAX(D12,0))</f>
        <v>154870.66666666666</v>
      </c>
      <c r="E14" s="230">
        <f t="shared" si="4"/>
        <v>150713.33333333334</v>
      </c>
      <c r="F14" s="230">
        <f t="shared" si="4"/>
        <v>246490</v>
      </c>
      <c r="G14" s="230">
        <f t="shared" si="4"/>
        <v>210581</v>
      </c>
      <c r="H14" s="230">
        <f t="shared" si="4"/>
        <v>254199.33333333334</v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0.96796036262515817</v>
      </c>
      <c r="D15" s="232">
        <f t="shared" ref="D15:M15" si="5">IF(E14="","",IF(ABS(D14+E14)=ABS(D14)+ABS(E14),IF(D14&lt;0,-1,1)*(D14-E14)/E14,"Turn"))</f>
        <v>2.7584376520546603E-2</v>
      </c>
      <c r="E15" s="232">
        <f t="shared" si="5"/>
        <v>-0.38856207824522965</v>
      </c>
      <c r="F15" s="232">
        <f t="shared" si="5"/>
        <v>0.17052345653216577</v>
      </c>
      <c r="G15" s="232">
        <f t="shared" si="5"/>
        <v>-0.17159106108329686</v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>
        <f>IF(Inputs!C31="","",Inputs!C31)</f>
        <v>-70259</v>
      </c>
      <c r="D16" s="199">
        <f>IF(Inputs!D31="","",Inputs!D31)</f>
        <v>-27525</v>
      </c>
      <c r="E16" s="199">
        <f>IF(Inputs!E31="","",Inputs!E31)</f>
        <v>233698</v>
      </c>
      <c r="F16" s="199">
        <f>IF(Inputs!F31="","",Inputs!F31)</f>
        <v>42431</v>
      </c>
      <c r="G16" s="199">
        <f>IF(Inputs!G31="","",Inputs!G31)</f>
        <v>-81917</v>
      </c>
      <c r="H16" s="199">
        <f>IF(Inputs!H31="","",Inputs!H31)</f>
        <v>-17970</v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31560</v>
      </c>
      <c r="D17" s="199">
        <f>IF(Inputs!D29="","",Inputs!D29)</f>
        <v>21677</v>
      </c>
      <c r="E17" s="199">
        <f>IF(Inputs!E29="","",Inputs!E29)</f>
        <v>20063</v>
      </c>
      <c r="F17" s="199">
        <f>IF(Inputs!F29="","",Inputs!F29)</f>
        <v>13516</v>
      </c>
      <c r="G17" s="199">
        <f>IF(Inputs!G29="","",Inputs!G29)</f>
        <v>19614</v>
      </c>
      <c r="H17" s="199">
        <f>IF(Inputs!H29="","",Inputs!H29)</f>
        <v>18362</v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>
        <f t="shared" ref="C18:M18" si="6">IF(OR(C6="",C19=""),"",C19/C6)</f>
        <v>7.2072535015742428E-2</v>
      </c>
      <c r="D18" s="152">
        <f t="shared" si="6"/>
        <v>7.5203250360177498E-2</v>
      </c>
      <c r="E18" s="152">
        <f t="shared" si="6"/>
        <v>8.2205594513146185E-2</v>
      </c>
      <c r="F18" s="152">
        <f t="shared" si="6"/>
        <v>7.953676663721107E-2</v>
      </c>
      <c r="G18" s="152">
        <f t="shared" si="6"/>
        <v>7.983787577532539E-2</v>
      </c>
      <c r="H18" s="152">
        <f t="shared" si="6"/>
        <v>6.2301299757558652E-2</v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>
        <f>IF(Inputs!C32="","",Inputs!C32)</f>
        <v>274900</v>
      </c>
      <c r="D19" s="199">
        <f>IF(Inputs!D32="","",Inputs!D32)</f>
        <v>274200</v>
      </c>
      <c r="E19" s="199">
        <f>IF(Inputs!E32="","",Inputs!E32)</f>
        <v>283285</v>
      </c>
      <c r="F19" s="199">
        <f>IF(Inputs!F32="","",Inputs!F32)</f>
        <v>251031</v>
      </c>
      <c r="G19" s="199">
        <f>IF(Inputs!G32="","",Inputs!G32)</f>
        <v>245141</v>
      </c>
      <c r="H19" s="199">
        <f>IF(Inputs!H32="","",Inputs!H32)</f>
        <v>204372</v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4.8476579572247276E-2</v>
      </c>
      <c r="D20" s="152">
        <f t="shared" si="7"/>
        <v>6.2148273273582126E-2</v>
      </c>
      <c r="E20" s="152">
        <f t="shared" si="7"/>
        <v>9.1815133536754343E-2</v>
      </c>
      <c r="F20" s="152">
        <f t="shared" si="7"/>
        <v>8.3519133834342521E-2</v>
      </c>
      <c r="G20" s="152">
        <f t="shared" si="7"/>
        <v>9.1874736401578255E-2</v>
      </c>
      <c r="H20" s="152">
        <f t="shared" si="7"/>
        <v>0.11931540878940586</v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>
        <f>IF(Inputs!C33="","",Inputs!C33)</f>
        <v>184900</v>
      </c>
      <c r="D21" s="199">
        <f>IF(Inputs!D33="","",Inputs!D33)</f>
        <v>226600</v>
      </c>
      <c r="E21" s="199">
        <f>IF(Inputs!E33="","",Inputs!E33)</f>
        <v>316400</v>
      </c>
      <c r="F21" s="199">
        <f>IF(Inputs!F33="","",Inputs!F33)</f>
        <v>263600</v>
      </c>
      <c r="G21" s="199">
        <f>IF(Inputs!G33="","",Inputs!G33)</f>
        <v>282100</v>
      </c>
      <c r="H21" s="199">
        <f>IF(Inputs!H33="","",Inputs!H33)</f>
        <v>391400</v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183219.33333333331</v>
      </c>
      <c r="D22" s="161">
        <f t="shared" ref="D22:M22" si="8">IF(D6="","",D14-MAX(D16,0)-MAX(D17,0)-ABS(MAX(D21,0)-MAX(D19,0)))</f>
        <v>85593.666666666657</v>
      </c>
      <c r="E22" s="161">
        <f t="shared" si="8"/>
        <v>-136162.66666666666</v>
      </c>
      <c r="F22" s="161">
        <f t="shared" si="8"/>
        <v>177974</v>
      </c>
      <c r="G22" s="161">
        <f t="shared" si="8"/>
        <v>154008</v>
      </c>
      <c r="H22" s="161">
        <f t="shared" si="8"/>
        <v>48809.333333333343</v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3.6026960214335171E-2</v>
      </c>
      <c r="D23" s="153">
        <f t="shared" si="9"/>
        <v>1.7606460458366825E-2</v>
      </c>
      <c r="E23" s="153">
        <f t="shared" si="9"/>
        <v>-2.9634466077877456E-2</v>
      </c>
      <c r="F23" s="153">
        <f t="shared" si="9"/>
        <v>4.2292017237386029E-2</v>
      </c>
      <c r="G23" s="153">
        <f t="shared" si="9"/>
        <v>3.7618161300250613E-2</v>
      </c>
      <c r="H23" s="153">
        <f t="shared" si="9"/>
        <v>1.1159374475099083E-2</v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137414.5</v>
      </c>
      <c r="D24" s="77">
        <f>IF(D6="","",D22*(1-Fin_Analysis!$I$84))</f>
        <v>64195.249999999993</v>
      </c>
      <c r="E24" s="77">
        <f>IF(E6="","",E22*(1-Fin_Analysis!$I$84))</f>
        <v>-102122</v>
      </c>
      <c r="F24" s="77">
        <f>IF(F6="","",F22*(1-Fin_Analysis!$I$84))</f>
        <v>133480.5</v>
      </c>
      <c r="G24" s="77">
        <f>IF(G6="","",G22*(1-Fin_Analysis!$I$84))</f>
        <v>115506</v>
      </c>
      <c r="H24" s="77">
        <f>IF(H6="","",H22*(1-Fin_Analysis!$I$84))</f>
        <v>36607.000000000007</v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1.1405711481768512</v>
      </c>
      <c r="D25" s="233" t="str">
        <f t="shared" ref="D25:M25" si="10">IF(E24="","",IF(ABS(D24+E24)=ABS(D24)+ABS(E24),IF(D24&lt;0,-1,1)*(D24-E24)/E24,"Turn"))</f>
        <v>Turn</v>
      </c>
      <c r="E25" s="233" t="str">
        <f t="shared" si="10"/>
        <v>Turn</v>
      </c>
      <c r="F25" s="233">
        <f t="shared" si="10"/>
        <v>0.15561529271206689</v>
      </c>
      <c r="G25" s="233">
        <f t="shared" si="10"/>
        <v>2.1552981670172366</v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45565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0.77696054205677556</v>
      </c>
      <c r="D42" s="156">
        <f t="shared" si="34"/>
        <v>0.80365122476803419</v>
      </c>
      <c r="E42" s="156">
        <f t="shared" si="34"/>
        <v>0.79631578718273499</v>
      </c>
      <c r="F42" s="156">
        <f t="shared" si="34"/>
        <v>0.77083122766473089</v>
      </c>
      <c r="G42" s="156">
        <f t="shared" si="34"/>
        <v>0.7810564129119667</v>
      </c>
      <c r="H42" s="156">
        <f t="shared" si="34"/>
        <v>0.77092721851516632</v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0.14204607870614464</v>
      </c>
      <c r="D43" s="153">
        <f t="shared" si="35"/>
        <v>0.15260801965048315</v>
      </c>
      <c r="E43" s="153">
        <f t="shared" si="35"/>
        <v>0.15768842923284743</v>
      </c>
      <c r="F43" s="153">
        <f t="shared" si="35"/>
        <v>0.14804685309345555</v>
      </c>
      <c r="G43" s="153">
        <f t="shared" si="35"/>
        <v>0.14741449640691942</v>
      </c>
      <c r="H43" s="153">
        <f t="shared" si="35"/>
        <v>0.14819620038038264</v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6.7816096957245317E-2</v>
      </c>
      <c r="F44" s="153">
        <f t="shared" si="36"/>
        <v>1.344385571974578E-2</v>
      </c>
      <c r="G44" s="153">
        <f t="shared" si="36"/>
        <v>0</v>
      </c>
      <c r="H44" s="153">
        <f t="shared" si="36"/>
        <v>0</v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8.274315042185636E-3</v>
      </c>
      <c r="D45" s="153">
        <f t="shared" si="37"/>
        <v>5.9452255946665479E-3</v>
      </c>
      <c r="E45" s="153">
        <f t="shared" si="37"/>
        <v>5.8220196717696029E-3</v>
      </c>
      <c r="F45" s="153">
        <f t="shared" si="37"/>
        <v>4.2824150717184128E-3</v>
      </c>
      <c r="G45" s="153">
        <f t="shared" si="37"/>
        <v>6.387915915563828E-3</v>
      </c>
      <c r="H45" s="153">
        <f t="shared" si="37"/>
        <v>5.5975205319138237E-3</v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1.0871617989521474E-3</v>
      </c>
      <c r="D46" s="153">
        <f t="shared" ref="D46:M46" si="38">IF(D6="","",MAX(D12,0)/D6)</f>
        <v>1.2652722890649846E-3</v>
      </c>
      <c r="E46" s="153">
        <f t="shared" si="38"/>
        <v>2.2607493689644148E-3</v>
      </c>
      <c r="F46" s="153">
        <f t="shared" si="38"/>
        <v>3.0239249367032058E-3</v>
      </c>
      <c r="G46" s="153">
        <f t="shared" si="38"/>
        <v>2.9467657389630627E-3</v>
      </c>
      <c r="H46" s="153">
        <f t="shared" si="38"/>
        <v>3.3857855738911626E-3</v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2.3595955443495159E-2</v>
      </c>
      <c r="D47" s="153">
        <f t="shared" ref="D47:M47" si="39">IF(D6="","",ABS(MAX(D21,0)-MAX(D19,0))/D6)</f>
        <v>1.3054977086595363E-2</v>
      </c>
      <c r="E47" s="153">
        <f t="shared" si="39"/>
        <v>9.6095390236081556E-3</v>
      </c>
      <c r="F47" s="153">
        <f t="shared" si="39"/>
        <v>3.9823671971314532E-3</v>
      </c>
      <c r="G47" s="153">
        <f t="shared" si="39"/>
        <v>1.2036860626252855E-2</v>
      </c>
      <c r="H47" s="153">
        <f t="shared" si="39"/>
        <v>5.7014109031847213E-2</v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4.8035946952446888E-2</v>
      </c>
      <c r="D48" s="153">
        <f t="shared" si="40"/>
        <v>2.347528061115577E-2</v>
      </c>
      <c r="E48" s="153">
        <f t="shared" si="40"/>
        <v>-3.9512621437169937E-2</v>
      </c>
      <c r="F48" s="153">
        <f t="shared" si="40"/>
        <v>5.6389356316514705E-2</v>
      </c>
      <c r="G48" s="153">
        <f t="shared" si="40"/>
        <v>5.0157548400334151E-2</v>
      </c>
      <c r="H48" s="153">
        <f t="shared" si="40"/>
        <v>1.4879165966798778E-2</v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261</v>
      </c>
      <c r="C52" s="153">
        <f>IF(D6="","",C16/(C6-D6))</f>
        <v>-0.41797446666745985</v>
      </c>
      <c r="D52" s="153">
        <f t="shared" ref="D52:M52" si="43">IF(E6="","",D16/(D6-E6))</f>
        <v>-0.13758097408829176</v>
      </c>
      <c r="E52" s="153">
        <f t="shared" si="43"/>
        <v>0.80615539580257478</v>
      </c>
      <c r="F52" s="153">
        <f t="shared" si="43"/>
        <v>0.4952379840799272</v>
      </c>
      <c r="G52" s="153">
        <f t="shared" si="43"/>
        <v>0.39027423104775699</v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0.17225256432181468</v>
      </c>
      <c r="D56" s="153">
        <f t="shared" si="46"/>
        <v>0.25325471900179536</v>
      </c>
      <c r="E56" s="153">
        <f t="shared" si="46"/>
        <v>-0.14734582166428389</v>
      </c>
      <c r="F56" s="153">
        <f t="shared" si="46"/>
        <v>7.5943677166327661E-2</v>
      </c>
      <c r="G56" s="153">
        <f t="shared" si="46"/>
        <v>0.12735702041452393</v>
      </c>
      <c r="H56" s="153">
        <f t="shared" si="46"/>
        <v>0.37619854126259999</v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abSelected="1" topLeftCell="A70" zoomScaleNormal="100" workbookViewId="0">
      <selection activeCell="D106" sqref="D106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45565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45382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3814213</v>
      </c>
      <c r="D74" s="209"/>
      <c r="E74" s="238">
        <f>Inputs!E91</f>
        <v>3814213</v>
      </c>
      <c r="F74" s="209"/>
      <c r="H74" s="238">
        <f>Inputs!F91</f>
        <v>3814213</v>
      </c>
      <c r="I74" s="209"/>
      <c r="K74" s="24"/>
    </row>
    <row r="75" spans="1:11" ht="15" customHeight="1" x14ac:dyDescent="0.4">
      <c r="B75" s="104" t="s">
        <v>105</v>
      </c>
      <c r="C75" s="77">
        <f>Data!C8</f>
        <v>2963493</v>
      </c>
      <c r="D75" s="159">
        <f>C75/$C$74</f>
        <v>0.77696054205677556</v>
      </c>
      <c r="E75" s="238">
        <f>Inputs!E92</f>
        <v>2963493</v>
      </c>
      <c r="F75" s="160">
        <f>E75/E74</f>
        <v>0.77696054205677556</v>
      </c>
      <c r="H75" s="238">
        <f>Inputs!F92</f>
        <v>2963493</v>
      </c>
      <c r="I75" s="160">
        <f>H75/$H$74</f>
        <v>0.77696054205677556</v>
      </c>
      <c r="K75" s="24"/>
    </row>
    <row r="76" spans="1:11" ht="15" customHeight="1" x14ac:dyDescent="0.4">
      <c r="B76" s="35" t="s">
        <v>95</v>
      </c>
      <c r="C76" s="161">
        <f>C74-C75</f>
        <v>850720</v>
      </c>
      <c r="D76" s="210"/>
      <c r="E76" s="162">
        <f>E74-E75</f>
        <v>850720</v>
      </c>
      <c r="F76" s="210"/>
      <c r="H76" s="162">
        <f>H74-H75</f>
        <v>850720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541794</v>
      </c>
      <c r="D77" s="159">
        <f>C77/$C$74</f>
        <v>0.14204607870614464</v>
      </c>
      <c r="E77" s="238">
        <f>Inputs!E93</f>
        <v>541794</v>
      </c>
      <c r="F77" s="160">
        <f>E77/E74</f>
        <v>0.14204607870614464</v>
      </c>
      <c r="H77" s="238">
        <f>Inputs!F93</f>
        <v>541794</v>
      </c>
      <c r="I77" s="160">
        <f>H77/$H$74</f>
        <v>0.14204607870614464</v>
      </c>
      <c r="K77" s="24"/>
    </row>
    <row r="78" spans="1:11" ht="15" customHeight="1" x14ac:dyDescent="0.4">
      <c r="B78" s="73" t="s">
        <v>172</v>
      </c>
      <c r="C78" s="77">
        <f>MAX(Data!C12,0)</f>
        <v>4146.666666666667</v>
      </c>
      <c r="D78" s="159">
        <f>C78/$C$74</f>
        <v>1.0871617989521474E-3</v>
      </c>
      <c r="E78" s="180">
        <f>E74*F78</f>
        <v>4146.666666666667</v>
      </c>
      <c r="F78" s="160">
        <f>I78</f>
        <v>1.0871617989521474E-3</v>
      </c>
      <c r="H78" s="238">
        <f>Inputs!F97</f>
        <v>4146.666666666667</v>
      </c>
      <c r="I78" s="160">
        <f>H78/$H$74</f>
        <v>1.0871617989521474E-3</v>
      </c>
      <c r="K78" s="24"/>
    </row>
    <row r="79" spans="1:11" ht="15" customHeight="1" x14ac:dyDescent="0.4">
      <c r="B79" s="256" t="s">
        <v>232</v>
      </c>
      <c r="C79" s="257">
        <f>C76-C77-C78</f>
        <v>304779.33333333331</v>
      </c>
      <c r="D79" s="258">
        <f>C79/C74</f>
        <v>7.9906217438127689E-2</v>
      </c>
      <c r="E79" s="259">
        <f>E76-E77-E78</f>
        <v>304779.33333333331</v>
      </c>
      <c r="F79" s="258">
        <f>E79/E74</f>
        <v>7.9906217438127689E-2</v>
      </c>
      <c r="G79" s="260"/>
      <c r="H79" s="259">
        <f>H76-H77-H78</f>
        <v>304779.33333333331</v>
      </c>
      <c r="I79" s="258">
        <f>H79/H74</f>
        <v>7.9906217438127689E-2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31560</v>
      </c>
      <c r="D81" s="159">
        <f>C81/$C$74</f>
        <v>8.274315042185636E-3</v>
      </c>
      <c r="E81" s="180">
        <f>E74*F81</f>
        <v>31560</v>
      </c>
      <c r="F81" s="160">
        <f>I81</f>
        <v>8.274315042185636E-3</v>
      </c>
      <c r="H81" s="238">
        <f>Inputs!F94</f>
        <v>31560</v>
      </c>
      <c r="I81" s="160">
        <f>H81/$H$74</f>
        <v>8.274315042185636E-3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90000</v>
      </c>
      <c r="D82" s="159">
        <f>C82/$C$74</f>
        <v>2.3595955443495159E-2</v>
      </c>
      <c r="E82" s="238">
        <f>Inputs!E95</f>
        <v>90000</v>
      </c>
      <c r="F82" s="160">
        <f>E82/E74</f>
        <v>2.3595955443495159E-2</v>
      </c>
      <c r="H82" s="238">
        <f>Inputs!F95</f>
        <v>72000</v>
      </c>
      <c r="I82" s="160">
        <f>H82/$H$74</f>
        <v>1.8876764354796127E-2</v>
      </c>
      <c r="K82" s="24"/>
    </row>
    <row r="83" spans="1:11" ht="15" customHeight="1" thickBot="1" x14ac:dyDescent="0.45">
      <c r="B83" s="105" t="s">
        <v>125</v>
      </c>
      <c r="C83" s="163">
        <f>C79-C81-C82-C80</f>
        <v>183219.33333333331</v>
      </c>
      <c r="D83" s="164">
        <f>C83/$C$74</f>
        <v>4.8035946952446888E-2</v>
      </c>
      <c r="E83" s="165">
        <f>E79-E81-E82-E80</f>
        <v>183219.33333333331</v>
      </c>
      <c r="F83" s="164">
        <f>E83/E74</f>
        <v>4.8035946952446888E-2</v>
      </c>
      <c r="H83" s="165">
        <f>H79-H81-H82-H80</f>
        <v>201219.33333333331</v>
      </c>
      <c r="I83" s="164">
        <f>H83/$H$74</f>
        <v>5.275513804114592E-2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137414.5</v>
      </c>
      <c r="D85" s="258">
        <f>C85/$C$74</f>
        <v>3.6026960214335171E-2</v>
      </c>
      <c r="E85" s="264">
        <f>E83*(1-F84)</f>
        <v>137414.5</v>
      </c>
      <c r="F85" s="258">
        <f>E85/E74</f>
        <v>3.6026960214335171E-2</v>
      </c>
      <c r="G85" s="260"/>
      <c r="H85" s="264">
        <f>H83*(1-I84)</f>
        <v>150914.5</v>
      </c>
      <c r="I85" s="258">
        <f>H85/$H$74</f>
        <v>3.9566353530859445E-2</v>
      </c>
      <c r="K85" s="24"/>
    </row>
    <row r="86" spans="1:11" ht="15" customHeight="1" x14ac:dyDescent="0.4">
      <c r="B86" s="87" t="s">
        <v>160</v>
      </c>
      <c r="C86" s="167">
        <f>C85*Data!C4/Common_Shares</f>
        <v>0.14705985689392354</v>
      </c>
      <c r="D86" s="209"/>
      <c r="E86" s="168">
        <f>E85*Data!C4/Common_Shares</f>
        <v>0.14705985689392354</v>
      </c>
      <c r="F86" s="209"/>
      <c r="H86" s="168">
        <f>H85*Data!C4/Common_Shares</f>
        <v>0.1615074447981692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0.10626204699948485</v>
      </c>
      <c r="D87" s="209"/>
      <c r="E87" s="262">
        <f>E86*Exchange_Rate/Dashboard!G3</f>
        <v>0.10626204699948485</v>
      </c>
      <c r="F87" s="209"/>
      <c r="H87" s="262">
        <f>H86*Exchange_Rate/Dashboard!G3</f>
        <v>0.11670153944382694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7.8199999999999992E-2</v>
      </c>
      <c r="D88" s="166">
        <f>C88/C86</f>
        <v>0.53175626341324955</v>
      </c>
      <c r="E88" s="170">
        <f>Inputs!E98</f>
        <v>7.8199999999999992E-2</v>
      </c>
      <c r="F88" s="166">
        <f>E88/E86</f>
        <v>0.53175626341324955</v>
      </c>
      <c r="H88" s="170">
        <f>Inputs!F98</f>
        <v>7.8199999999999992E-2</v>
      </c>
      <c r="I88" s="166">
        <f>H88/H86</f>
        <v>0.48418820629429243</v>
      </c>
      <c r="K88" s="24"/>
    </row>
    <row r="89" spans="1:11" ht="15" customHeight="1" x14ac:dyDescent="0.4">
      <c r="B89" s="87" t="s">
        <v>221</v>
      </c>
      <c r="C89" s="261">
        <f>C88*Exchange_Rate/Dashboard!G3</f>
        <v>5.6505509055089186E-2</v>
      </c>
      <c r="D89" s="209"/>
      <c r="E89" s="261">
        <f>E88*Exchange_Rate/Dashboard!G3</f>
        <v>5.6505509055089186E-2</v>
      </c>
      <c r="F89" s="209"/>
      <c r="H89" s="261">
        <f>H88*Exchange_Rate/Dashboard!G3</f>
        <v>5.6505509055089186E-2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HK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209</v>
      </c>
      <c r="F93" s="144">
        <f>FV(E87,D93,0,-(E86/(C93-D94)))*Exchange_Rate</f>
        <v>31.248470359749454</v>
      </c>
      <c r="H93" s="87" t="s">
        <v>209</v>
      </c>
      <c r="I93" s="144">
        <f>FV(H87,D93,0,-(H86/(C93-D94)))*Exchange_Rate</f>
        <v>35.968529166679716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13.20110062466909</v>
      </c>
      <c r="H94" s="87" t="s">
        <v>210</v>
      </c>
      <c r="I94" s="144">
        <f>FV(H89,D93,0,-(H88/(C93-D94)))*Exchange_Rate</f>
        <v>13.20110062466909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16709824.941834468</v>
      </c>
      <c r="D97" s="213"/>
      <c r="E97" s="123">
        <f>PV(C94,D93,0,-F93)</f>
        <v>15.536012476525611</v>
      </c>
      <c r="F97" s="213"/>
      <c r="H97" s="123">
        <f>PV(C94,D93,0,-I93)</f>
        <v>17.882715904571139</v>
      </c>
      <c r="I97" s="123">
        <f>PV(C93,D93,0,-I93)</f>
        <v>24.408867271272861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16709824.941834468</v>
      </c>
      <c r="D100" s="109">
        <f>MIN(F100*(1-C94),E100)</f>
        <v>14.202959561966118</v>
      </c>
      <c r="E100" s="109">
        <f>MAX(E97+H98+E99,0)</f>
        <v>15.536012476525611</v>
      </c>
      <c r="F100" s="109">
        <f>(E100+H100)/2</f>
        <v>16.709364190548374</v>
      </c>
      <c r="H100" s="109">
        <f>MAX(C100*Data!$C$4/Common_Shares,0)</f>
        <v>17.882715904571139</v>
      </c>
      <c r="I100" s="109">
        <f>MAX(I97+H98+H99,0)</f>
        <v>24.408867271272861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6132807.9181538802</v>
      </c>
      <c r="D103" s="109">
        <f>MIN(F103*(1-C94),E103)</f>
        <v>5.5787880942796146</v>
      </c>
      <c r="E103" s="123">
        <f>PV(C94,D93,0,-F94)</f>
        <v>6.5632801109171934</v>
      </c>
      <c r="F103" s="109">
        <f>(E103+H103)/2</f>
        <v>6.5632801109171934</v>
      </c>
      <c r="H103" s="123">
        <f>PV(C94,D93,0,-I94)</f>
        <v>6.5632801109171934</v>
      </c>
      <c r="I103" s="109">
        <f>PV(C93,D93,0,-I94)</f>
        <v>8.9584956751794209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10324922.468296776</v>
      </c>
      <c r="D106" s="109">
        <f>(D100+D103)/2</f>
        <v>9.8908738281228672</v>
      </c>
      <c r="E106" s="123">
        <f>(E100+E103)/2</f>
        <v>11.049646293721402</v>
      </c>
      <c r="F106" s="109">
        <f>(F100+F103)/2</f>
        <v>11.636322150732784</v>
      </c>
      <c r="H106" s="123">
        <f>(H100+H103)/2</f>
        <v>12.222998007744167</v>
      </c>
      <c r="I106" s="123">
        <f>(I100+I103)/2</f>
        <v>16.683681473226141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2024-12-16T03:16:57Z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