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07C6439-276D-4DEA-906E-6B5AC8B40F2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8" i="4" l="1"/>
  <c r="C58" i="4"/>
  <c r="C50" i="4"/>
  <c r="C61" i="4"/>
  <c r="C68" i="4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E98" i="4" s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D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7" i="3" s="1"/>
  <c r="F92" i="4"/>
  <c r="H75" i="3" s="1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 s="1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<sst xmlns="http://schemas.openxmlformats.org/spreadsheetml/2006/main" count="391" uniqueCount="270">
  <si>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</si>
  <si>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</si>
  <si>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</si>
  <si>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</si>
  <si>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</si>
  <si>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</si>
  <si>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</si>
  <si>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</si>
  <si>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</si>
  <si>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</si>
  <si>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</si>
  <si>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</si>
  <si>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</si>
  <si>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</si>
  <si>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</si>
  <si>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</si>
  <si>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</si>
  <si>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</si>
  <si>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</si>
  <si>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</si>
  <si>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</si>
  <si>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</si>
  <si>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</si>
  <si>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</si>
  <si>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</si>
  <si>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</si>
  <si>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</si>
  <si>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</si>
  <si>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</si>
  <si>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</si>
  <si>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</si>
  <si>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</si>
  <si>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</si>
  <si>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</si>
  <si>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</si>
  <si>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</si>
  <si>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</si>
  <si>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</si>
  <si>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</si>
  <si>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</si>
  <si>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</si>
  <si>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</si>
  <si>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</si>
  <si>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</si>
  <si>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</si>
  <si>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</si>
  <si>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</si>
  <si>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</si>
  <si>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</si>
  <si>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</si>
  <si>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</si>
  <si>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</si>
  <si>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</si>
  <si>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</si>
  <si>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</si>
  <si>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</si>
  <si>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</si>
  <si>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</si>
  <si>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</si>
  <si>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</si>
  <si>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</si>
  <si>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</si>
  <si>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</si>
  <si>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</si>
  <si>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</si>
  <si>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</si>
  <si>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</si>
  <si>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</si>
  <si>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</si>
  <si>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</si>
  <si>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</si>
  <si>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</si>
  <si>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</si>
  <si>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</si>
  <si>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</si>
  <si>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</si>
  <si>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</si>
  <si>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</si>
  <si>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</si>
  <si>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</si>
  <si>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</si>
  <si>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</si>
  <si>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</si>
  <si>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</si>
  <si>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</si>
  <si>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</si>
  <si>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</si>
  <si>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</si>
  <si>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</si>
  <si>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</si>
  <si>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</si>
  <si>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</si>
  <si>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</si>
  <si>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</si>
  <si>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</si>
  <si>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</si>
  <si>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</si>
  <si>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</si>
  <si>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</si>
  <si>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</si>
  <si>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</si>
  <si>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</si>
  <si>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</si>
  <si>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</si>
  <si>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</si>
  <si>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</si>
  <si>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</si>
  <si>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</si>
  <si>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</si>
  <si>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</si>
  <si>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</si>
  <si>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</si>
  <si>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</si>
  <si>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</si>
  <si>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</si>
  <si>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</si>
  <si>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</si>
  <si>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</si>
  <si>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</si>
  <si>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</si>
  <si>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</si>
  <si>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</si>
  <si>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</si>
  <si>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</si>
  <si>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</si>
  <si>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</si>
  <si>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</si>
  <si>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</si>
  <si>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</si>
  <si>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</si>
  <si>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</si>
  <si>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</si>
  <si>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</si>
  <si>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</si>
  <si>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</si>
  <si>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</si>
  <si>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</si>
  <si>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</si>
  <si>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</si>
  <si>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</si>
  <si>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</si>
  <si>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</si>
  <si>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</si>
  <si>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</si>
  <si>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</si>
  <si>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</si>
  <si>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</si>
  <si>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</si>
  <si>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</si>
  <si>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</si>
  <si>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</si>
  <si>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</si>
  <si>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</si>
  <si>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</si>
  <si>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</si>
  <si>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</si>
  <si>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</si>
  <si>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</si>
  <si>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</si>
  <si>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</si>
  <si>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</si>
  <si>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</si>
  <si>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</si>
  <si>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</si>
  <si>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</si>
  <si>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</si>
  <si>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</si>
  <si>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</si>
  <si>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</si>
  <si>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</si>
  <si>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</si>
  <si>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</si>
  <si>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</si>
  <si>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</si>
  <si>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</si>
  <si>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</si>
  <si>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</si>
  <si>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</si>
  <si>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</si>
  <si>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</si>
  <si>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</si>
  <si>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</si>
  <si>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</si>
  <si>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</si>
  <si>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</si>
  <si>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</si>
  <si>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</si>
  <si>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</si>
  <si>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</si>
  <si>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</si>
  <si>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</si>
  <si>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</si>
  <si>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</si>
  <si>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</si>
  <si>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</si>
  <si>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</si>
  <si>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</si>
  <si>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</si>
  <si>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</si>
  <si>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</si>
  <si>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</si>
  <si>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</si>
  <si>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</si>
  <si>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</si>
  <si>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</si>
  <si>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</si>
  <si>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</si>
  <si>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</si>
  <si>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</si>
  <si>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</si>
  <si>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</si>
  <si>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</si>
  <si>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</si>
  <si>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</si>
  <si>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</si>
  <si>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</si>
  <si>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</si>
  <si>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</si>
  <si>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</si>
  <si>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</si>
  <si>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</si>
  <si>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</si>
  <si>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</si>
  <si>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</si>
  <si>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</si>
  <si>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</si>
  <si>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</si>
  <si>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</si>
  <si>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</si>
  <si>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</si>
  <si>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</si>
  <si>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</si>
  <si>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</si>
  <si>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</si>
  <si>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</si>
  <si>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</si>
  <si>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</si>
  <si>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</si>
  <si>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</si>
  <si>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</si>
  <si>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</si>
  <si>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</si>
  <si>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</si>
  <si>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</si>
  <si>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</si>
  <si>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</si>
  <si>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</si>
  <si>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</si>
  <si>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</si>
  <si>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</si>
  <si>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</si>
  <si>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</si>
  <si>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</si>
  <si>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</si>
  <si>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</si>
  <si>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</si>
  <si>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</si>
  <si>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</si>
  <si>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</si>
  <si>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</si>
  <si>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</si>
  <si>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</si>
  <si>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</si>
  <si>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</si>
  <si>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</si>
  <si>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0683.HK</t>
    <phoneticPr fontId="20" type="noConversion"/>
  </si>
  <si>
    <t>C0005</t>
    <phoneticPr fontId="20" type="noConversion"/>
  </si>
  <si>
    <t>HKD</t>
    <phoneticPr fontId="20" type="noConversion"/>
  </si>
  <si>
    <t>嘉里建設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</si>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</sst>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0.48651894461783024</c:v>
                </c:pt>
                <c:pt idx="1">
                  <c:v>0.13623030387112606</c:v>
                </c:pt>
                <c:pt idx="2">
                  <c:v>9.375962912518726E-2</c:v>
                </c:pt>
                <c:pt idx="3">
                  <c:v>0</c:v>
                </c:pt>
                <c:pt idx="4">
                  <c:v>4.581383061459042E-2</c:v>
                </c:pt>
                <c:pt idx="5">
                  <c:v>0</c:v>
                </c:pt>
                <c:pt idx="6">
                  <c:v>0.23767729177126601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268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1451305728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13089628</v>
      </c>
      <c r="D25" s="149">
        <v>14590475</v>
      </c>
      <c r="E25" s="149">
        <v>15326764</v>
      </c>
      <c r="F25" s="149">
        <v>14526102</v>
      </c>
      <c r="G25" s="149">
        <v>18025422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6368352</v>
      </c>
      <c r="D26" s="150">
        <v>7605791</v>
      </c>
      <c r="E26" s="150">
        <v>6583757</v>
      </c>
      <c r="F26" s="150">
        <v>6139239</v>
      </c>
      <c r="G26" s="150">
        <v>9041440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1783204</v>
      </c>
      <c r="D27" s="150">
        <v>1720023</v>
      </c>
      <c r="E27" s="150">
        <v>2003343</v>
      </c>
      <c r="F27" s="150">
        <v>1613699</v>
      </c>
      <c r="G27" s="150">
        <v>1602120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599686</v>
      </c>
      <c r="D29" s="150">
        <v>317225</v>
      </c>
      <c r="E29" s="150">
        <v>562656</v>
      </c>
      <c r="F29" s="150">
        <v>781715</v>
      </c>
      <c r="G29" s="150">
        <v>812565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920459</v>
      </c>
      <c r="D30" s="150">
        <v>720106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52019578</v>
      </c>
      <c r="F34" s="150">
        <v>46824778</v>
      </c>
      <c r="G34" s="150">
        <v>30542596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22442764</v>
      </c>
      <c r="F37" s="150">
        <v>20617000</v>
      </c>
      <c r="G37" s="150">
        <v>19835482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5316310</v>
      </c>
      <c r="F39" s="150">
        <v>6964787</v>
      </c>
      <c r="G39" s="150">
        <v>8544578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32210595</v>
      </c>
      <c r="F40" s="150">
        <v>37670707</v>
      </c>
      <c r="G40" s="150">
        <v>31147279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>
        <v>132313126</v>
      </c>
      <c r="F41" s="150">
        <v>124656340</v>
      </c>
      <c r="G41" s="150">
        <v>115383027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264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1.3499962549695244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8.6872345879634771E-2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13539631</v>
      </c>
      <c r="D48" s="60">
        <v>0.9</v>
      </c>
      <c r="E48" s="112"/>
    </row>
    <row r="49" spans="2:5" ht="13.9" x14ac:dyDescent="0.4">
      <c r="B49" s="1" t="s">
        <v>135</v>
      </c>
      <c r="C49" s="59">
        <v>305449</v>
      </c>
      <c r="D49" s="60">
        <v>0.8</v>
      </c>
      <c r="E49" s="112"/>
    </row>
    <row r="50" spans="2:5" ht="13.9" x14ac:dyDescent="0.4">
      <c r="B50" s="3" t="s">
        <v>116</v>
      </c>
      <c r="C50" s="59">
        <f>1787467+193156</f>
        <v>1980623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5889</v>
      </c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18623682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45</v>
      </c>
    </row>
    <row r="57" spans="2:5" ht="13.9" x14ac:dyDescent="0.4">
      <c r="B57" s="3" t="s">
        <v>119</v>
      </c>
      <c r="C57" s="59">
        <v>23436237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f>325570+189255</f>
        <v>514825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f>758168+650701</f>
        <v>1408869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582318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898512</v>
      </c>
      <c r="D64" s="60">
        <v>0.4</v>
      </c>
      <c r="E64" s="112"/>
    </row>
    <row r="65" spans="2:5" ht="13.9" x14ac:dyDescent="0.4">
      <c r="B65" s="3" t="s">
        <v>69</v>
      </c>
      <c r="C65" s="59">
        <v>24823141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76964829</v>
      </c>
      <c r="D66" s="60">
        <v>0.3</v>
      </c>
      <c r="E66" s="221" t="s">
        <v>45</v>
      </c>
    </row>
    <row r="67" spans="2:5" ht="13.9" x14ac:dyDescent="0.4">
      <c r="B67" s="1" t="s">
        <v>48</v>
      </c>
      <c r="C67" s="59">
        <v>39222688</v>
      </c>
      <c r="D67" s="60">
        <v>0.2</v>
      </c>
      <c r="E67" s="221" t="s">
        <v>45</v>
      </c>
    </row>
    <row r="68" spans="2:5" ht="13.9" x14ac:dyDescent="0.4">
      <c r="B68" s="3" t="s">
        <v>118</v>
      </c>
      <c r="C68" s="59">
        <f>4323428+1679757</f>
        <v>6003185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122504</v>
      </c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6636214</v>
      </c>
    </row>
    <row r="74" spans="2:5" ht="13.9" x14ac:dyDescent="0.4">
      <c r="B74" s="3" t="s">
        <v>39</v>
      </c>
      <c r="C74" s="59">
        <v>43646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114041</v>
      </c>
    </row>
    <row r="77" spans="2:5" ht="14.25" thickBot="1" x14ac:dyDescent="0.45">
      <c r="B77" s="80" t="s">
        <v>15</v>
      </c>
      <c r="C77" s="83">
        <v>25845852</v>
      </c>
    </row>
    <row r="78" spans="2:5" ht="14.25" thickTop="1" x14ac:dyDescent="0.4">
      <c r="B78" s="3" t="s">
        <v>61</v>
      </c>
      <c r="C78" s="59">
        <f>48494864+2237084</f>
        <v>50731948</v>
      </c>
    </row>
    <row r="79" spans="2:5" ht="13.9" x14ac:dyDescent="0.4">
      <c r="B79" s="3" t="s">
        <v>63</v>
      </c>
      <c r="C79" s="59">
        <v>40529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278874</v>
      </c>
    </row>
    <row r="82" spans="2:8" ht="14.25" thickBot="1" x14ac:dyDescent="0.45">
      <c r="B82" s="80" t="s">
        <v>84</v>
      </c>
      <c r="C82" s="83">
        <v>61429709</v>
      </c>
    </row>
    <row r="83" spans="2:8" ht="14.25" thickTop="1" x14ac:dyDescent="0.4">
      <c r="B83" s="73" t="s">
        <v>220</v>
      </c>
      <c r="C83" s="59">
        <v>107256580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13089628</v>
      </c>
      <c r="D91" s="209"/>
      <c r="E91" s="251">
        <f>C91</f>
        <v>13089628</v>
      </c>
      <c r="F91" s="251">
        <f>C91</f>
        <v>13089628</v>
      </c>
    </row>
    <row r="92" spans="2:8" ht="13.9" x14ac:dyDescent="0.4">
      <c r="B92" s="104" t="s">
        <v>105</v>
      </c>
      <c r="C92" s="77">
        <f>C26</f>
        <v>6368352</v>
      </c>
      <c r="D92" s="159">
        <f>C92/C91</f>
        <v>0.48651894461783024</v>
      </c>
      <c r="E92" s="252">
        <f>E91*D92</f>
        <v>6368352</v>
      </c>
      <c r="F92" s="252">
        <f>F91*D92</f>
        <v>6368352</v>
      </c>
    </row>
    <row r="93" spans="2:8" ht="13.9" x14ac:dyDescent="0.4">
      <c r="B93" s="104" t="s">
        <v>247</v>
      </c>
      <c r="C93" s="77">
        <f>C27+C28</f>
        <v>1783204</v>
      </c>
      <c r="D93" s="159">
        <f>C93/C91</f>
        <v>0.13623030387112606</v>
      </c>
      <c r="E93" s="252">
        <f>E91*D93</f>
        <v>1783204</v>
      </c>
      <c r="F93" s="252">
        <f>F91*D93</f>
        <v>1783204</v>
      </c>
    </row>
    <row r="94" spans="2:8" ht="13.9" x14ac:dyDescent="0.4">
      <c r="B94" s="104" t="s">
        <v>256</v>
      </c>
      <c r="C94" s="77">
        <f>C29</f>
        <v>599686</v>
      </c>
      <c r="D94" s="159">
        <f>C94/C91</f>
        <v>4.581383061459042E-2</v>
      </c>
      <c r="E94" s="253"/>
      <c r="F94" s="252">
        <f>F91*D94</f>
        <v>599686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1227278.6666666667</v>
      </c>
      <c r="D97" s="159">
        <f>C97/C91</f>
        <v>9.375962912518726E-2</v>
      </c>
      <c r="E97" s="253"/>
      <c r="F97" s="252">
        <f>F91*D97</f>
        <v>1227278.6666666667</v>
      </c>
    </row>
    <row r="98" spans="2:7" ht="13.9" x14ac:dyDescent="0.4">
      <c r="B98" s="86" t="s">
        <v>207</v>
      </c>
      <c r="C98" s="237">
        <f>C44</f>
        <v>1.3499962549695244</v>
      </c>
      <c r="D98" s="266"/>
      <c r="E98" s="254">
        <f>F98*50%</f>
        <v>0.67499812748476218</v>
      </c>
      <c r="F98" s="254">
        <f>C98</f>
        <v>1.3499962549695244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1" sqref="C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0683.HK : 嘉里建設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0683.HK</v>
      </c>
      <c r="D3" s="279"/>
      <c r="E3" s="87"/>
      <c r="F3" s="3" t="s">
        <v>1</v>
      </c>
      <c r="G3" s="132">
        <v>15.54</v>
      </c>
      <c r="H3" s="134" t="s">
        <v>267</v>
      </c>
    </row>
    <row r="4" spans="1:10" ht="15.75" customHeight="1" x14ac:dyDescent="0.4">
      <c r="B4" s="35" t="s">
        <v>195</v>
      </c>
      <c r="C4" s="280" t="str">
        <f>Inputs!C5</f>
        <v>嘉里建設</v>
      </c>
      <c r="D4" s="281"/>
      <c r="E4" s="87"/>
      <c r="F4" s="3" t="s">
        <v>2</v>
      </c>
      <c r="G4" s="284">
        <f>Inputs!C10</f>
        <v>1451305728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45639</v>
      </c>
      <c r="D5" s="283"/>
      <c r="E5" s="34"/>
      <c r="F5" s="35" t="s">
        <v>99</v>
      </c>
      <c r="G5" s="276">
        <f>G3*G4/1000000</f>
        <v>22553.291013120001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HKD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0.48651894461783024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0.13623030387112606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9.375962912518726E-2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0.18614957727489398</v>
      </c>
    </row>
    <row r="24" spans="1:8" ht="15.75" customHeight="1" x14ac:dyDescent="0.4">
      <c r="B24" s="137" t="s">
        <v>170</v>
      </c>
      <c r="C24" s="171">
        <f>Fin_Analysis!I81</f>
        <v>4.581383061459042E-2</v>
      </c>
      <c r="F24" s="140" t="s">
        <v>259</v>
      </c>
      <c r="G24" s="268">
        <f>G3/(Fin_Analysis!H86*G7)</f>
        <v>9.6657078854110026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0.83968271859293786</v>
      </c>
    </row>
    <row r="26" spans="1:8" ht="15.75" customHeight="1" x14ac:dyDescent="0.4">
      <c r="B26" s="138" t="s">
        <v>173</v>
      </c>
      <c r="C26" s="171">
        <f>Fin_Analysis!I83</f>
        <v>0.23767729177126601</v>
      </c>
      <c r="F26" s="141" t="s">
        <v>193</v>
      </c>
      <c r="G26" s="178">
        <f>Fin_Analysis!H88*Exchange_Rate/G3</f>
        <v>8.6872345879634771E-2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257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6.265517186937938</v>
      </c>
      <c r="D29" s="129">
        <f>G29*(1+G20)</f>
        <v>23.501104207541875</v>
      </c>
      <c r="E29" s="87"/>
      <c r="F29" s="131">
        <f>IF(Fin_Analysis!C108="Profit",Fin_Analysis!F100,IF(Fin_Analysis!C108="Dividend",Fin_Analysis!F103,Fin_Analysis!F106))</f>
        <v>10.815570092547695</v>
      </c>
      <c r="G29" s="275">
        <f>IF(Fin_Analysis!C108="Profit",Fin_Analysis!I100,IF(Fin_Analysis!C108="Dividend",Fin_Analysis!I103,Fin_Analysis!I106))</f>
        <v>20.435742789166849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3710793.333333333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13089628</v>
      </c>
      <c r="D6" s="200">
        <f>IF(Inputs!D25="","",Inputs!D25)</f>
        <v>14590475</v>
      </c>
      <c r="E6" s="200">
        <f>IF(Inputs!E25="","",Inputs!E25)</f>
        <v>15326764</v>
      </c>
      <c r="F6" s="200">
        <f>IF(Inputs!F25="","",Inputs!F25)</f>
        <v>14526102</v>
      </c>
      <c r="G6" s="200">
        <f>IF(Inputs!G25="","",Inputs!G25)</f>
        <v>18025422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-0.10286484847134858</v>
      </c>
      <c r="D7" s="92">
        <f t="shared" si="1"/>
        <v>-4.8039429588659366E-2</v>
      </c>
      <c r="E7" s="92">
        <f t="shared" si="1"/>
        <v>5.511884743753015E-2</v>
      </c>
      <c r="F7" s="92">
        <f t="shared" si="1"/>
        <v>-0.19413248688435703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6368352</v>
      </c>
      <c r="D8" s="199">
        <f>IF(Inputs!D26="","",Inputs!D26)</f>
        <v>7605791</v>
      </c>
      <c r="E8" s="199">
        <f>IF(Inputs!E26="","",Inputs!E26)</f>
        <v>6583757</v>
      </c>
      <c r="F8" s="199">
        <f>IF(Inputs!F26="","",Inputs!F26)</f>
        <v>6139239</v>
      </c>
      <c r="G8" s="199">
        <f>IF(Inputs!G26="","",Inputs!G26)</f>
        <v>9041440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6721276</v>
      </c>
      <c r="D9" s="151">
        <f t="shared" si="2"/>
        <v>6984684</v>
      </c>
      <c r="E9" s="151">
        <f t="shared" si="2"/>
        <v>8743007</v>
      </c>
      <c r="F9" s="151">
        <f t="shared" si="2"/>
        <v>8386863</v>
      </c>
      <c r="G9" s="151">
        <f t="shared" si="2"/>
        <v>8983982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1783204</v>
      </c>
      <c r="D10" s="199">
        <f>IF(Inputs!D27="","",Inputs!D27)</f>
        <v>1720023</v>
      </c>
      <c r="E10" s="199">
        <f>IF(Inputs!E27="","",Inputs!E27)</f>
        <v>2003343</v>
      </c>
      <c r="F10" s="199">
        <f>IF(Inputs!F27="","",Inputs!F27)</f>
        <v>1613699</v>
      </c>
      <c r="G10" s="199">
        <f>IF(Inputs!G27="","",Inputs!G27)</f>
        <v>1602120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1227278.6666666667</v>
      </c>
      <c r="D12" s="199">
        <f>IF(Inputs!D30="","",MAX(Inputs!D30,0)/(1-Fin_Analysis!$I$84))</f>
        <v>960141.33333333337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0.28349112238585644</v>
      </c>
      <c r="D13" s="229">
        <f t="shared" si="3"/>
        <v>0.29502258608213011</v>
      </c>
      <c r="E13" s="229">
        <f t="shared" si="3"/>
        <v>0.4397317007034231</v>
      </c>
      <c r="F13" s="229">
        <f t="shared" si="3"/>
        <v>0.46627539858938066</v>
      </c>
      <c r="G13" s="229">
        <f t="shared" si="3"/>
        <v>0.40952505855341415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3710793.333333333</v>
      </c>
      <c r="D14" s="230">
        <f t="shared" ref="D14:M14" si="4">IF(D6="","",D9-D10-MAX(D11,0)-MAX(D12,0))</f>
        <v>4304519.666666667</v>
      </c>
      <c r="E14" s="230">
        <f t="shared" si="4"/>
        <v>6739664</v>
      </c>
      <c r="F14" s="230">
        <f t="shared" si="4"/>
        <v>6773164</v>
      </c>
      <c r="G14" s="230">
        <f t="shared" si="4"/>
        <v>7381862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-0.1379309143203668</v>
      </c>
      <c r="D15" s="232">
        <f t="shared" ref="D15:M15" si="5">IF(E14="","",IF(ABS(D14+E14)=ABS(D14)+ABS(E14),IF(D14&lt;0,-1,1)*(D14-E14)/E14,"Turn"))</f>
        <v>-0.36131539099476367</v>
      </c>
      <c r="E15" s="232">
        <f t="shared" si="5"/>
        <v>-4.9459897914770701E-3</v>
      </c>
      <c r="F15" s="232">
        <f t="shared" si="5"/>
        <v>-8.2458599198955498E-2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599686</v>
      </c>
      <c r="D17" s="199">
        <f>IF(Inputs!D29="","",Inputs!D29)</f>
        <v>317225</v>
      </c>
      <c r="E17" s="199">
        <f>IF(Inputs!E29="","",Inputs!E29)</f>
        <v>562656</v>
      </c>
      <c r="F17" s="199">
        <f>IF(Inputs!F29="","",Inputs!F29)</f>
        <v>781715</v>
      </c>
      <c r="G17" s="199">
        <f>IF(Inputs!G29="","",Inputs!G29)</f>
        <v>812565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3111107.333333333</v>
      </c>
      <c r="D22" s="161">
        <f t="shared" ref="D22:M22" si="8">IF(D6="","",D14-MAX(D16,0)-MAX(D17,0)-ABS(MAX(D21,0)-MAX(D19,0)))</f>
        <v>3987294.666666667</v>
      </c>
      <c r="E22" s="161">
        <f t="shared" si="8"/>
        <v>6177008</v>
      </c>
      <c r="F22" s="161">
        <f t="shared" si="8"/>
        <v>5991449</v>
      </c>
      <c r="G22" s="161">
        <f t="shared" si="8"/>
        <v>6569297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0.17825796882844952</v>
      </c>
      <c r="D23" s="153">
        <f t="shared" si="9"/>
        <v>0.20496049648829115</v>
      </c>
      <c r="E23" s="153">
        <f t="shared" si="9"/>
        <v>0.30226576203561301</v>
      </c>
      <c r="F23" s="153">
        <f t="shared" si="9"/>
        <v>0.30934566960909404</v>
      </c>
      <c r="G23" s="153">
        <f t="shared" si="9"/>
        <v>0.27333466866961559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2333330.5</v>
      </c>
      <c r="D24" s="77">
        <f>IF(D6="","",D22*(1-Fin_Analysis!$I$84))</f>
        <v>2990471</v>
      </c>
      <c r="E24" s="77">
        <f>IF(E6="","",E22*(1-Fin_Analysis!$I$84))</f>
        <v>4632756</v>
      </c>
      <c r="F24" s="77">
        <f>IF(F6="","",F22*(1-Fin_Analysis!$I$84))</f>
        <v>4493586.75</v>
      </c>
      <c r="G24" s="77">
        <f>IF(G6="","",G22*(1-Fin_Analysis!$I$84))</f>
        <v>4926972.75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-0.21974481611759486</v>
      </c>
      <c r="D25" s="233">
        <f t="shared" ref="D25:M25" si="10">IF(E24="","",IF(ABS(D24+E24)=ABS(D24)+ABS(E24),IF(D24&lt;0,-1,1)*(D24-E24)/E24,"Turn"))</f>
        <v>-0.35449417150396006</v>
      </c>
      <c r="E25" s="233">
        <f t="shared" si="10"/>
        <v>3.0970638321381021E-2</v>
      </c>
      <c r="F25" s="233">
        <f t="shared" si="10"/>
        <v>-8.7961923475221165E-2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208432382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58406336</v>
      </c>
      <c r="D28" s="199" t="str">
        <f>IF(Inputs!D34="","",Inputs!D34)</f>
        <v/>
      </c>
      <c r="E28" s="199">
        <f>IF(Inputs!E34="","",Inputs!E34)</f>
        <v>52019578</v>
      </c>
      <c r="F28" s="199">
        <f>IF(Inputs!F34="","",Inputs!F34)</f>
        <v>46824778</v>
      </c>
      <c r="G28" s="199">
        <f>IF(Inputs!G34="","",Inputs!G34)</f>
        <v>30542596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1980623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18623682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25845852</v>
      </c>
      <c r="D31" s="199" t="str">
        <f>IF(Inputs!D37="","",Inputs!D37)</f>
        <v/>
      </c>
      <c r="E31" s="199">
        <f>IF(Inputs!E37="","",Inputs!E37)</f>
        <v>22442764</v>
      </c>
      <c r="F31" s="199">
        <f>IF(Inputs!F37="","",Inputs!F37)</f>
        <v>20617000</v>
      </c>
      <c r="G31" s="199">
        <f>IF(Inputs!G37="","",Inputs!G37)</f>
        <v>19835482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61429709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6793901</v>
      </c>
      <c r="D33" s="199" t="str">
        <f>IF(Inputs!D39="","",Inputs!D39)</f>
        <v/>
      </c>
      <c r="E33" s="199">
        <f>IF(Inputs!E39="","",Inputs!E39)</f>
        <v>5316310</v>
      </c>
      <c r="F33" s="199">
        <f>IF(Inputs!F39="","",Inputs!F39)</f>
        <v>6964787</v>
      </c>
      <c r="G33" s="199">
        <f>IF(Inputs!G39="","",Inputs!G39)</f>
        <v>8544578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51051351</v>
      </c>
      <c r="D34" s="199" t="str">
        <f>IF(Inputs!D40="","",Inputs!D40)</f>
        <v/>
      </c>
      <c r="E34" s="199">
        <f>IF(Inputs!E40="","",Inputs!E40)</f>
        <v>32210595</v>
      </c>
      <c r="F34" s="199">
        <f>IF(Inputs!F40="","",Inputs!F40)</f>
        <v>37670707</v>
      </c>
      <c r="G34" s="199">
        <f>IF(Inputs!G40="","",Inputs!G40)</f>
        <v>31147279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57845252</v>
      </c>
      <c r="D35" s="77" t="str">
        <f t="shared" ref="D35" si="22">IF(OR(D33="",D34=""),"",D33+D34)</f>
        <v/>
      </c>
      <c r="E35" s="77">
        <f t="shared" ref="E35" si="23">IF(OR(E33="",E34=""),"",E33+E34)</f>
        <v>37526905</v>
      </c>
      <c r="F35" s="77">
        <f t="shared" ref="F35" si="24">IF(OR(F33="",F34=""),"",F33+F34)</f>
        <v>44635494</v>
      </c>
      <c r="G35" s="77">
        <f t="shared" ref="G35" si="25">IF(OR(G33="",G34=""),"",G33+G34)</f>
        <v>39691857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121156821</v>
      </c>
      <c r="D36" s="199" t="str">
        <f>IF(Inputs!D41="","",Inputs!D41)</f>
        <v/>
      </c>
      <c r="E36" s="199">
        <f>IF(Inputs!E41="","",Inputs!E41)</f>
        <v>132313126</v>
      </c>
      <c r="F36" s="199">
        <f>IF(Inputs!F41="","",Inputs!F41)</f>
        <v>124656340</v>
      </c>
      <c r="G36" s="199">
        <f>IF(Inputs!G41="","",Inputs!G41)</f>
        <v>115383027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13900241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39771641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168660741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2.2001523954725974E-2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0.48651894461783024</v>
      </c>
      <c r="D42" s="156">
        <f t="shared" si="34"/>
        <v>0.52128467373406284</v>
      </c>
      <c r="E42" s="156">
        <f t="shared" si="34"/>
        <v>0.42955949475049005</v>
      </c>
      <c r="F42" s="156">
        <f t="shared" si="34"/>
        <v>0.42263499182368403</v>
      </c>
      <c r="G42" s="156">
        <f t="shared" si="34"/>
        <v>0.50159380457223135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0.13623030387112606</v>
      </c>
      <c r="D43" s="153">
        <f t="shared" si="35"/>
        <v>0.11788670348292293</v>
      </c>
      <c r="E43" s="153">
        <f t="shared" si="35"/>
        <v>0.13070880454608683</v>
      </c>
      <c r="F43" s="153">
        <f t="shared" si="35"/>
        <v>0.1110896095869353</v>
      </c>
      <c r="G43" s="153">
        <f t="shared" si="35"/>
        <v>8.8881136874354449E-2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4.581383061459042E-2</v>
      </c>
      <c r="D45" s="153">
        <f t="shared" si="37"/>
        <v>2.1741924097741849E-2</v>
      </c>
      <c r="E45" s="153">
        <f t="shared" si="37"/>
        <v>3.6710684655939116E-2</v>
      </c>
      <c r="F45" s="153">
        <f t="shared" si="37"/>
        <v>5.3814505777255314E-2</v>
      </c>
      <c r="G45" s="153">
        <f t="shared" si="37"/>
        <v>4.5078833660593357E-2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9.375962912518726E-2</v>
      </c>
      <c r="D46" s="153">
        <f t="shared" ref="D46:M46" si="38">IF(D6="","",MAX(D12,0)/D6)</f>
        <v>6.5806036700884196E-2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0.23767729177126601</v>
      </c>
      <c r="D48" s="153">
        <f t="shared" si="40"/>
        <v>0.27328066198438822</v>
      </c>
      <c r="E48" s="153">
        <f t="shared" si="40"/>
        <v>0.40302101604748397</v>
      </c>
      <c r="F48" s="153">
        <f t="shared" si="40"/>
        <v>0.41246089281212539</v>
      </c>
      <c r="G48" s="153">
        <f t="shared" si="40"/>
        <v>0.3644462248928208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0.15131239787715892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1.4227816099892221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0.41872361752311599</v>
      </c>
      <c r="D54" s="156" t="str">
        <f t="shared" ref="D54:M54" si="44">IF(D36="","",(D27-D36)/D27)</f>
        <v/>
      </c>
      <c r="E54" s="156" t="e">
        <f t="shared" si="44"/>
        <v>#VALUE!</v>
      </c>
      <c r="F54" s="156" t="e">
        <f t="shared" si="44"/>
        <v>#VALUE!</v>
      </c>
      <c r="G54" s="156" t="e">
        <f t="shared" si="44"/>
        <v>#VALUE!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5.3783279107044654E-2</v>
      </c>
      <c r="D55" s="157" t="str">
        <f t="shared" si="45"/>
        <v/>
      </c>
      <c r="E55" s="157">
        <f t="shared" si="45"/>
        <v>0.16460211680126566</v>
      </c>
      <c r="F55" s="157">
        <f t="shared" si="45"/>
        <v>0.13423059684295194</v>
      </c>
      <c r="G55" s="157">
        <f t="shared" si="45"/>
        <v>0.16550742385270611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0.19275644834711586</v>
      </c>
      <c r="D56" s="153">
        <f t="shared" si="46"/>
        <v>7.9558955763155692E-2</v>
      </c>
      <c r="E56" s="153">
        <f t="shared" si="46"/>
        <v>9.108876012464287E-2</v>
      </c>
      <c r="F56" s="153">
        <f t="shared" si="46"/>
        <v>0.1304717773613695</v>
      </c>
      <c r="G56" s="153">
        <f t="shared" si="46"/>
        <v>0.12369131735100422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2.2597953435622862</v>
      </c>
      <c r="D57" s="158" t="str">
        <f t="shared" si="47"/>
        <v/>
      </c>
      <c r="E57" s="158">
        <f t="shared" si="47"/>
        <v>2.3178775127698175</v>
      </c>
      <c r="F57" s="158">
        <f t="shared" si="47"/>
        <v>2.2711732065770964</v>
      </c>
      <c r="G57" s="158">
        <f t="shared" si="47"/>
        <v>1.5397960079820596</v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0" zoomScaleNormal="100" workbookViewId="0">
      <selection activeCell="D103" sqref="D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121156821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107256580</v>
      </c>
      <c r="K3" s="24"/>
    </row>
    <row r="4" spans="1:11" ht="15" customHeight="1" x14ac:dyDescent="0.4">
      <c r="B4" s="3" t="s">
        <v>24</v>
      </c>
      <c r="C4" s="87"/>
      <c r="D4" s="65">
        <f>D3-I3</f>
        <v>13900241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2.2597953435622862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-28198312.699999988</v>
      </c>
      <c r="E6" s="56">
        <f>1-D6/D3</f>
        <v>1.2327422630212457</v>
      </c>
      <c r="F6" s="87"/>
      <c r="G6" s="87"/>
      <c r="H6" s="1" t="s">
        <v>29</v>
      </c>
      <c r="I6" s="63">
        <f>(C24+C25)/I28</f>
        <v>0.61253898691364483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0.61231113603838638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13539631</v>
      </c>
      <c r="D11" s="198">
        <f>Inputs!D48</f>
        <v>0.9</v>
      </c>
      <c r="E11" s="88">
        <f t="shared" ref="E11:E22" si="0">C11*D11</f>
        <v>12185667.9</v>
      </c>
      <c r="F11" s="112"/>
      <c r="G11" s="87"/>
      <c r="H11" s="3" t="s">
        <v>38</v>
      </c>
      <c r="I11" s="40">
        <f>Inputs!C73</f>
        <v>6636214</v>
      </c>
      <c r="J11" s="87"/>
      <c r="K11" s="24"/>
    </row>
    <row r="12" spans="1:11" ht="13.9" x14ac:dyDescent="0.4">
      <c r="B12" s="1" t="s">
        <v>135</v>
      </c>
      <c r="C12" s="40">
        <f>Inputs!C49</f>
        <v>305449</v>
      </c>
      <c r="D12" s="198">
        <f>Inputs!D49</f>
        <v>0.8</v>
      </c>
      <c r="E12" s="88">
        <f t="shared" si="0"/>
        <v>244359.2</v>
      </c>
      <c r="F12" s="112"/>
      <c r="G12" s="87"/>
      <c r="H12" s="3" t="s">
        <v>39</v>
      </c>
      <c r="I12" s="40">
        <f>Inputs!C74</f>
        <v>43646</v>
      </c>
      <c r="J12" s="87"/>
      <c r="K12" s="24"/>
    </row>
    <row r="13" spans="1:11" ht="13.9" x14ac:dyDescent="0.4">
      <c r="B13" s="3" t="s">
        <v>116</v>
      </c>
      <c r="C13" s="40">
        <f>Inputs!C50</f>
        <v>1980623</v>
      </c>
      <c r="D13" s="198">
        <f>Inputs!D50</f>
        <v>0.6</v>
      </c>
      <c r="E13" s="88">
        <f t="shared" si="0"/>
        <v>1188373.8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114041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6793901</v>
      </c>
      <c r="J15" s="87"/>
    </row>
    <row r="16" spans="1:11" ht="13.9" x14ac:dyDescent="0.4">
      <c r="B16" s="1" t="s">
        <v>158</v>
      </c>
      <c r="C16" s="40">
        <f>Inputs!C53</f>
        <v>5889</v>
      </c>
      <c r="D16" s="198">
        <f>Inputs!D53</f>
        <v>0.6</v>
      </c>
      <c r="E16" s="88">
        <f t="shared" si="0"/>
        <v>3533.4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18623682</v>
      </c>
      <c r="D18" s="198">
        <f>Inputs!D55</f>
        <v>0.5</v>
      </c>
      <c r="E18" s="88">
        <f t="shared" si="0"/>
        <v>9311841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119</v>
      </c>
      <c r="C20" s="40">
        <f>Inputs!C57</f>
        <v>23436237</v>
      </c>
      <c r="D20" s="198">
        <f>Inputs!D57</f>
        <v>0.6</v>
      </c>
      <c r="E20" s="88">
        <f t="shared" si="0"/>
        <v>14061742.199999999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514825</v>
      </c>
      <c r="D21" s="198">
        <f>Inputs!D58</f>
        <v>0.9</v>
      </c>
      <c r="E21" s="88">
        <f t="shared" si="0"/>
        <v>463342.5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19051951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15825703</v>
      </c>
      <c r="D24" s="62">
        <f>IF(E24=0,0,E24/C24)</f>
        <v>0.86052423074033424</v>
      </c>
      <c r="E24" s="88">
        <f>SUM(E11:E14)</f>
        <v>13618400.9</v>
      </c>
      <c r="F24" s="113">
        <f>E24/$E$28</f>
        <v>0.36355620272480266</v>
      </c>
      <c r="G24" s="87"/>
    </row>
    <row r="25" spans="2:10" ht="15" customHeight="1" x14ac:dyDescent="0.4">
      <c r="B25" s="23" t="s">
        <v>54</v>
      </c>
      <c r="C25" s="61">
        <f>SUM(C15:C17)</f>
        <v>5889</v>
      </c>
      <c r="D25" s="62">
        <f>IF(E25=0,0,E25/C25)</f>
        <v>0.6</v>
      </c>
      <c r="E25" s="88">
        <f>SUM(E15:E17)</f>
        <v>3533.4</v>
      </c>
      <c r="F25" s="113">
        <f>E25/$E$28</f>
        <v>9.4327483537940028E-5</v>
      </c>
      <c r="G25" s="87"/>
      <c r="H25" s="23" t="s">
        <v>55</v>
      </c>
      <c r="I25" s="63">
        <f>E28/I28</f>
        <v>1.4493180569168314</v>
      </c>
    </row>
    <row r="26" spans="2:10" ht="15" customHeight="1" x14ac:dyDescent="0.4">
      <c r="B26" s="23" t="s">
        <v>56</v>
      </c>
      <c r="C26" s="61">
        <f>C18+C19+C20</f>
        <v>42059919</v>
      </c>
      <c r="D26" s="62">
        <f>IF(E26=0,0,E26/C26)</f>
        <v>0.55572107021889416</v>
      </c>
      <c r="E26" s="88">
        <f>E18+E19+E20</f>
        <v>23373583.199999999</v>
      </c>
      <c r="F26" s="113">
        <f>E26/$E$28</f>
        <v>0.62398009976811897</v>
      </c>
      <c r="G26" s="87"/>
      <c r="H26" s="23" t="s">
        <v>57</v>
      </c>
      <c r="I26" s="63">
        <f>E24/($I$28-I22)</f>
        <v>2.0045038778162945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514825</v>
      </c>
      <c r="D27" s="62">
        <f>IF(E27=0,0,E27/C27)</f>
        <v>0.9</v>
      </c>
      <c r="E27" s="88">
        <f>E21+E22</f>
        <v>463342.5</v>
      </c>
      <c r="F27" s="113">
        <f>E27/$E$28</f>
        <v>1.2369370023540492E-2</v>
      </c>
      <c r="G27" s="87"/>
      <c r="H27" s="23" t="s">
        <v>59</v>
      </c>
      <c r="I27" s="63">
        <f>(E25+E24)/$I$28</f>
        <v>0.52704527983832772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58406336</v>
      </c>
      <c r="D28" s="57">
        <f>E28/C28</f>
        <v>0.64134925361522421</v>
      </c>
      <c r="E28" s="70">
        <f>SUM(E24:E27)</f>
        <v>37458860</v>
      </c>
      <c r="F28" s="112"/>
      <c r="G28" s="87"/>
      <c r="H28" s="78" t="s">
        <v>15</v>
      </c>
      <c r="I28" s="206">
        <f>Inputs!C77</f>
        <v>25845852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50731948</v>
      </c>
      <c r="J30" s="87"/>
    </row>
    <row r="31" spans="2:10" ht="15" customHeight="1" x14ac:dyDescent="0.4">
      <c r="B31" s="3" t="s">
        <v>62</v>
      </c>
      <c r="C31" s="40">
        <f>Inputs!C61</f>
        <v>1408869</v>
      </c>
      <c r="D31" s="198">
        <f>Inputs!D61</f>
        <v>0.6</v>
      </c>
      <c r="E31" s="88">
        <f t="shared" ref="E31:E42" si="1">C31*D31</f>
        <v>845321.4</v>
      </c>
      <c r="F31" s="112"/>
      <c r="G31" s="87"/>
      <c r="H31" s="3" t="s">
        <v>63</v>
      </c>
      <c r="I31" s="40">
        <f>Inputs!C79</f>
        <v>40529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582318</v>
      </c>
      <c r="D33" s="198">
        <f>Inputs!D63</f>
        <v>0.5</v>
      </c>
      <c r="E33" s="88">
        <f t="shared" si="1"/>
        <v>291159</v>
      </c>
      <c r="F33" s="112"/>
      <c r="G33" s="30">
        <f>IF(F33="Y",0,1)</f>
        <v>1</v>
      </c>
      <c r="H33" s="86" t="s">
        <v>66</v>
      </c>
      <c r="I33" s="205">
        <f>Inputs!C81</f>
        <v>278874</v>
      </c>
      <c r="J33" s="87"/>
    </row>
    <row r="34" spans="2:10" ht="13.9" x14ac:dyDescent="0.4">
      <c r="B34" s="3" t="s">
        <v>67</v>
      </c>
      <c r="C34" s="40">
        <f>Inputs!C64</f>
        <v>898512</v>
      </c>
      <c r="D34" s="198">
        <f>Inputs!D64</f>
        <v>0.4</v>
      </c>
      <c r="E34" s="88">
        <f t="shared" si="1"/>
        <v>359404.80000000005</v>
      </c>
      <c r="F34" s="112"/>
      <c r="G34" s="87"/>
      <c r="H34" s="1" t="s">
        <v>77</v>
      </c>
      <c r="I34" s="84">
        <f>SUM(I30:I33)</f>
        <v>51051351</v>
      </c>
      <c r="J34" s="87"/>
    </row>
    <row r="35" spans="2:10" ht="13.9" x14ac:dyDescent="0.4">
      <c r="B35" s="3" t="s">
        <v>69</v>
      </c>
      <c r="C35" s="40">
        <f>Inputs!C65</f>
        <v>24823141</v>
      </c>
      <c r="D35" s="198">
        <f>Inputs!D65</f>
        <v>0.1</v>
      </c>
      <c r="E35" s="88">
        <f t="shared" si="1"/>
        <v>2482314.1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76964829</v>
      </c>
      <c r="D36" s="198">
        <f>Inputs!D66</f>
        <v>0.3</v>
      </c>
      <c r="E36" s="88">
        <f t="shared" si="1"/>
        <v>23089448.699999999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48</v>
      </c>
      <c r="C37" s="40">
        <f>Inputs!C67</f>
        <v>39222688</v>
      </c>
      <c r="D37" s="198">
        <f>Inputs!D67</f>
        <v>0.2</v>
      </c>
      <c r="E37" s="88">
        <f t="shared" si="1"/>
        <v>7844537.6000000006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6003185</v>
      </c>
      <c r="D38" s="198">
        <f>Inputs!D68</f>
        <v>0.1</v>
      </c>
      <c r="E38" s="88">
        <f t="shared" si="1"/>
        <v>600318.5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122504</v>
      </c>
      <c r="D40" s="198">
        <f>Inputs!D70</f>
        <v>0.05</v>
      </c>
      <c r="E40" s="88">
        <f t="shared" si="1"/>
        <v>6125.2000000000007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10378358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1408869</v>
      </c>
      <c r="D44" s="62">
        <f>IF(E44=0,0,E44/C44)</f>
        <v>0.6</v>
      </c>
      <c r="E44" s="88">
        <f>SUM(E30:E31)</f>
        <v>845321.4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26303971</v>
      </c>
      <c r="D45" s="62">
        <f>IF(E45=0,0,E45/C45)</f>
        <v>0.11910284952792871</v>
      </c>
      <c r="E45" s="88">
        <f>SUM(E32:E35)</f>
        <v>3132877.9000000004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122190702</v>
      </c>
      <c r="D46" s="62">
        <f>IF(E46=0,0,E46/C46)</f>
        <v>0.25807450390128706</v>
      </c>
      <c r="E46" s="88">
        <f>E36+E37+E38+E39</f>
        <v>31534304.800000001</v>
      </c>
      <c r="F46" s="87"/>
      <c r="G46" s="87"/>
      <c r="H46" s="23" t="s">
        <v>80</v>
      </c>
      <c r="I46" s="63">
        <f>(E44+E24)/E64</f>
        <v>0.25004165078233215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122504</v>
      </c>
      <c r="D47" s="62">
        <f>IF(E47=0,0,E47/C47)</f>
        <v>0.05</v>
      </c>
      <c r="E47" s="88">
        <f>E40+E41+E42</f>
        <v>6125.2000000000007</v>
      </c>
      <c r="F47" s="87"/>
      <c r="G47" s="87"/>
      <c r="H47" s="23" t="s">
        <v>82</v>
      </c>
      <c r="I47" s="63">
        <f>(E44+E45+E24+E25)/$I$49</f>
        <v>0.2016616495882507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150026046</v>
      </c>
      <c r="D48" s="82">
        <f>E48/C48</f>
        <v>0.23674975277292853</v>
      </c>
      <c r="E48" s="76">
        <f>SUM(E30:E42)</f>
        <v>35518629.300000004</v>
      </c>
      <c r="F48" s="87"/>
      <c r="G48" s="87"/>
      <c r="H48" s="80" t="s">
        <v>84</v>
      </c>
      <c r="I48" s="207">
        <f>Inputs!C82</f>
        <v>61429709</v>
      </c>
      <c r="J48" s="8"/>
    </row>
    <row r="49" spans="2:11" ht="15" customHeight="1" thickTop="1" x14ac:dyDescent="0.4">
      <c r="B49" s="3" t="s">
        <v>13</v>
      </c>
      <c r="C49" s="61">
        <f>C28+C48</f>
        <v>208432382</v>
      </c>
      <c r="D49" s="56">
        <f>E49/C49</f>
        <v>0.3501254872191597</v>
      </c>
      <c r="E49" s="88">
        <f>E28+E48</f>
        <v>72977489.300000012</v>
      </c>
      <c r="F49" s="87"/>
      <c r="G49" s="87"/>
      <c r="H49" s="3" t="s">
        <v>85</v>
      </c>
      <c r="I49" s="52">
        <f>I28+I48</f>
        <v>87275561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13900241</v>
      </c>
      <c r="D53" s="29">
        <f>IF(E53=0, 0,E53/C53)</f>
        <v>1</v>
      </c>
      <c r="E53" s="88">
        <f>IF(C53=0,0,MAX(C53,C53*Dashboard!G23))</f>
        <v>13900241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57845252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26232010</v>
      </c>
      <c r="D61" s="56">
        <f t="shared" ref="D61:D70" si="2">IF(E61=0,0,E61/C61)</f>
        <v>0.12685400394403631</v>
      </c>
      <c r="E61" s="52">
        <f>E14+E15+(E19*G19)+(E20*G20)+E31+E32+(E35*G35)+(E36*G36)+(E37*G37)</f>
        <v>3327635.5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13539631</v>
      </c>
      <c r="D62" s="107">
        <f t="shared" si="2"/>
        <v>0.9</v>
      </c>
      <c r="E62" s="118">
        <f>E11+E30</f>
        <v>12185667.9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39771641</v>
      </c>
      <c r="D63" s="29">
        <f t="shared" si="2"/>
        <v>0.39005942450300202</v>
      </c>
      <c r="E63" s="61">
        <f>E61+E62</f>
        <v>15513303.4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57845252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-18073611</v>
      </c>
      <c r="D65" s="29">
        <f t="shared" si="2"/>
        <v>2.3421965095962287</v>
      </c>
      <c r="E65" s="61">
        <f>E63-E64</f>
        <v>-42331948.600000001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168660741</v>
      </c>
      <c r="D68" s="29">
        <f t="shared" si="2"/>
        <v>0.34070872426678128</v>
      </c>
      <c r="E68" s="68">
        <f>E49-E63</f>
        <v>57464185.900000013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29430309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139230432</v>
      </c>
      <c r="D70" s="29">
        <f t="shared" si="2"/>
        <v>0.20134877481382815</v>
      </c>
      <c r="E70" s="68">
        <f>E68-E69</f>
        <v>28033876.900000013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13089628</v>
      </c>
      <c r="D74" s="209"/>
      <c r="E74" s="238">
        <f>Inputs!E91</f>
        <v>13089628</v>
      </c>
      <c r="F74" s="209"/>
      <c r="H74" s="238">
        <f>Inputs!F91</f>
        <v>13089628</v>
      </c>
      <c r="I74" s="209"/>
      <c r="K74" s="24"/>
    </row>
    <row r="75" spans="1:11" ht="15" customHeight="1" x14ac:dyDescent="0.4">
      <c r="B75" s="104" t="s">
        <v>105</v>
      </c>
      <c r="C75" s="77">
        <f>Data!C8</f>
        <v>6368352</v>
      </c>
      <c r="D75" s="159">
        <f>C75/$C$74</f>
        <v>0.48651894461783024</v>
      </c>
      <c r="E75" s="238">
        <f>Inputs!E92</f>
        <v>6368352</v>
      </c>
      <c r="F75" s="160">
        <f>E75/E74</f>
        <v>0.48651894461783024</v>
      </c>
      <c r="H75" s="238">
        <f>Inputs!F92</f>
        <v>6368352</v>
      </c>
      <c r="I75" s="160">
        <f>H75/$H$74</f>
        <v>0.48651894461783024</v>
      </c>
      <c r="K75" s="24"/>
    </row>
    <row r="76" spans="1:11" ht="15" customHeight="1" x14ac:dyDescent="0.4">
      <c r="B76" s="35" t="s">
        <v>95</v>
      </c>
      <c r="C76" s="161">
        <f>C74-C75</f>
        <v>6721276</v>
      </c>
      <c r="D76" s="210"/>
      <c r="E76" s="162">
        <f>E74-E75</f>
        <v>6721276</v>
      </c>
      <c r="F76" s="210"/>
      <c r="H76" s="162">
        <f>H74-H75</f>
        <v>6721276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1783204</v>
      </c>
      <c r="D77" s="159">
        <f>C77/$C$74</f>
        <v>0.13623030387112606</v>
      </c>
      <c r="E77" s="238">
        <f>Inputs!E93</f>
        <v>1783204</v>
      </c>
      <c r="F77" s="160">
        <f>E77/E74</f>
        <v>0.13623030387112606</v>
      </c>
      <c r="H77" s="238">
        <f>Inputs!F93</f>
        <v>1783204</v>
      </c>
      <c r="I77" s="160">
        <f>H77/$H$74</f>
        <v>0.13623030387112606</v>
      </c>
      <c r="K77" s="24"/>
    </row>
    <row r="78" spans="1:11" ht="15" customHeight="1" x14ac:dyDescent="0.4">
      <c r="B78" s="73" t="s">
        <v>172</v>
      </c>
      <c r="C78" s="77">
        <f>MAX(Data!C12,0)</f>
        <v>1227278.6666666667</v>
      </c>
      <c r="D78" s="159">
        <f>C78/$C$74</f>
        <v>9.375962912518726E-2</v>
      </c>
      <c r="E78" s="180">
        <f>E74*F78</f>
        <v>1227278.6666666667</v>
      </c>
      <c r="F78" s="160">
        <f>I78</f>
        <v>9.375962912518726E-2</v>
      </c>
      <c r="H78" s="238">
        <f>Inputs!F97</f>
        <v>1227278.6666666667</v>
      </c>
      <c r="I78" s="160">
        <f>H78/$H$74</f>
        <v>9.375962912518726E-2</v>
      </c>
      <c r="K78" s="24"/>
    </row>
    <row r="79" spans="1:11" ht="15" customHeight="1" x14ac:dyDescent="0.4">
      <c r="B79" s="256" t="s">
        <v>232</v>
      </c>
      <c r="C79" s="257">
        <f>C76-C77-C78</f>
        <v>3710793.333333333</v>
      </c>
      <c r="D79" s="258">
        <f>C79/C74</f>
        <v>0.28349112238585644</v>
      </c>
      <c r="E79" s="259">
        <f>E76-E77-E78</f>
        <v>3710793.333333333</v>
      </c>
      <c r="F79" s="258">
        <f>E79/E74</f>
        <v>0.28349112238585644</v>
      </c>
      <c r="G79" s="260"/>
      <c r="H79" s="259">
        <f>H76-H77-H78</f>
        <v>3710793.333333333</v>
      </c>
      <c r="I79" s="258">
        <f>H79/H74</f>
        <v>0.28349112238585644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599686</v>
      </c>
      <c r="D81" s="159">
        <f>C81/$C$74</f>
        <v>4.581383061459042E-2</v>
      </c>
      <c r="E81" s="180">
        <f>E74*F81</f>
        <v>599686</v>
      </c>
      <c r="F81" s="160">
        <f>I81</f>
        <v>4.581383061459042E-2</v>
      </c>
      <c r="H81" s="238">
        <f>Inputs!F94</f>
        <v>599686</v>
      </c>
      <c r="I81" s="160">
        <f>H81/$H$74</f>
        <v>4.581383061459042E-2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3111107.333333333</v>
      </c>
      <c r="D83" s="164">
        <f>C83/$C$74</f>
        <v>0.23767729177126601</v>
      </c>
      <c r="E83" s="165">
        <f>E79-E81-E82-E80</f>
        <v>3111107.333333333</v>
      </c>
      <c r="F83" s="164">
        <f>E83/E74</f>
        <v>0.23767729177126601</v>
      </c>
      <c r="H83" s="165">
        <f>H79-H81-H82-H80</f>
        <v>3111107.333333333</v>
      </c>
      <c r="I83" s="164">
        <f>H83/$H$74</f>
        <v>0.23767729177126601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2333330.5</v>
      </c>
      <c r="D85" s="258">
        <f>C85/$C$74</f>
        <v>0.17825796882844952</v>
      </c>
      <c r="E85" s="264">
        <f>E83*(1-F84)</f>
        <v>2333330.5</v>
      </c>
      <c r="F85" s="258">
        <f>E85/E74</f>
        <v>0.17825796882844952</v>
      </c>
      <c r="G85" s="260"/>
      <c r="H85" s="264">
        <f>H83*(1-I84)</f>
        <v>2333330.5</v>
      </c>
      <c r="I85" s="258">
        <f>H85/$H$74</f>
        <v>0.17825796882844952</v>
      </c>
      <c r="K85" s="24"/>
    </row>
    <row r="86" spans="1:11" ht="15" customHeight="1" x14ac:dyDescent="0.4">
      <c r="B86" s="87" t="s">
        <v>160</v>
      </c>
      <c r="C86" s="167">
        <f>C85*Data!C4/Common_Shares</f>
        <v>1.6077456699736805</v>
      </c>
      <c r="D86" s="209"/>
      <c r="E86" s="168">
        <f>E85*Data!C4/Common_Shares</f>
        <v>1.6077456699736805</v>
      </c>
      <c r="F86" s="209"/>
      <c r="H86" s="168">
        <f>H85*Data!C4/Common_Shares</f>
        <v>1.6077456699736805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0.10345853732134366</v>
      </c>
      <c r="D87" s="209"/>
      <c r="E87" s="262">
        <f>E86*Exchange_Rate/Dashboard!G3</f>
        <v>0.10345853732134366</v>
      </c>
      <c r="F87" s="209"/>
      <c r="H87" s="262">
        <f>H86*Exchange_Rate/Dashboard!G3</f>
        <v>0.10345853732134366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1.3499962549695244</v>
      </c>
      <c r="D88" s="166">
        <f>C88/C86</f>
        <v>0.83968271859293786</v>
      </c>
      <c r="E88" s="170">
        <f>Inputs!E98</f>
        <v>0.67499812748476218</v>
      </c>
      <c r="F88" s="166">
        <f>E88/E86</f>
        <v>0.41984135929646893</v>
      </c>
      <c r="H88" s="170">
        <f>Inputs!F98</f>
        <v>1.3499962549695244</v>
      </c>
      <c r="I88" s="166">
        <f>H88/H86</f>
        <v>0.83968271859293786</v>
      </c>
      <c r="K88" s="24"/>
    </row>
    <row r="89" spans="1:11" ht="15" customHeight="1" x14ac:dyDescent="0.4">
      <c r="B89" s="87" t="s">
        <v>221</v>
      </c>
      <c r="C89" s="261">
        <f>C88*Exchange_Rate/Dashboard!G3</f>
        <v>8.6872345879634771E-2</v>
      </c>
      <c r="D89" s="209"/>
      <c r="E89" s="261">
        <f>E88*Exchange_Rate/Dashboard!G3</f>
        <v>4.3436172939817386E-2</v>
      </c>
      <c r="F89" s="209"/>
      <c r="H89" s="261">
        <f>H88*Exchange_Rate/Dashboard!G3</f>
        <v>8.6872345879634771E-2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39.701924715284115</v>
      </c>
      <c r="H93" s="87" t="s">
        <v>209</v>
      </c>
      <c r="I93" s="144">
        <f>FV(H87,D93,0,-(H86/(C93-D94)))*Exchange_Rate</f>
        <v>39.701924715284115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12.602193027352399</v>
      </c>
      <c r="H94" s="87" t="s">
        <v>210</v>
      </c>
      <c r="I94" s="144">
        <f>FV(H89,D93,0,-(H88/(C93-D94)))*Exchange_Rate</f>
        <v>30.905756257759275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28647139.906330846</v>
      </c>
      <c r="D97" s="213"/>
      <c r="E97" s="123">
        <f>PV(C94,D93,0,-F93)</f>
        <v>19.738873315003442</v>
      </c>
      <c r="F97" s="213"/>
      <c r="H97" s="123">
        <f>PV(C94,D93,0,-I93)</f>
        <v>19.738873315003442</v>
      </c>
      <c r="I97" s="123">
        <f>PV(C93,D93,0,-I93)</f>
        <v>26.252013215587173</v>
      </c>
      <c r="K97" s="24"/>
    </row>
    <row r="98" spans="2:11" ht="15" customHeight="1" x14ac:dyDescent="0.4">
      <c r="B98" s="28" t="s">
        <v>144</v>
      </c>
      <c r="C98" s="91">
        <f>-E53*Exchange_Rate</f>
        <v>-13900241</v>
      </c>
      <c r="D98" s="213"/>
      <c r="E98" s="213"/>
      <c r="F98" s="213"/>
      <c r="H98" s="123">
        <f>C98*Data!$C$4/Common_Shares</f>
        <v>-9.5777483212689418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-42331948.600000001</v>
      </c>
      <c r="D99" s="214"/>
      <c r="E99" s="145">
        <f>IF(H99&gt;0,H99*(1-C94),H99*(1+C94))</f>
        <v>-33.543408498143812</v>
      </c>
      <c r="F99" s="214"/>
      <c r="H99" s="145">
        <f>C99*Data!$C$4/Common_Shares</f>
        <v>-29.168181302733753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-27585049.693669155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22300216.671514444</v>
      </c>
      <c r="D103" s="109">
        <f>MIN(F103*(1-C94),E103)</f>
        <v>6.265517186937938</v>
      </c>
      <c r="E103" s="123">
        <f>PV(C94,D93,0,-F94)</f>
        <v>6.265517186937938</v>
      </c>
      <c r="F103" s="109">
        <f>(E103+H103)/2</f>
        <v>10.815570092547695</v>
      </c>
      <c r="H103" s="123">
        <f>PV(C94,D93,0,-I94)</f>
        <v>15.36562299815745</v>
      </c>
      <c r="I103" s="109">
        <f>PV(C93,D93,0,-I94)</f>
        <v>20.435742789166849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4546590.4911427386</v>
      </c>
      <c r="D106" s="109">
        <f>(D100+D103)/2</f>
        <v>3.132758593468969</v>
      </c>
      <c r="E106" s="123">
        <f>(E100+E103)/2</f>
        <v>3.132758593468969</v>
      </c>
      <c r="F106" s="109">
        <f>(F100+F103)/2</f>
        <v>5.4077850462738475</v>
      </c>
      <c r="H106" s="123">
        <f>(H100+H103)/2</f>
        <v>7.6828114990787251</v>
      </c>
      <c r="I106" s="123">
        <f>(I100+I103)/2</f>
        <v>10.217871394583424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