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D0A5F0F-9B80-4E31-895F-76083075BD4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9" i="4" l="1"/>
  <c r="D68" i="4"/>
  <c r="C68" i="4"/>
  <c r="D67" i="4"/>
  <c r="C65" i="4"/>
  <c r="D62" i="4"/>
  <c r="D63" i="4" s="1"/>
  <c r="D61" i="4"/>
  <c r="D60" i="4"/>
  <c r="D59" i="4"/>
  <c r="D58" i="4"/>
  <c r="D71" i="4" s="1"/>
  <c r="C58" i="4"/>
  <c r="D55" i="4"/>
  <c r="D50" i="4"/>
  <c r="D56" i="4" s="1"/>
  <c r="C50" i="4"/>
  <c r="F44" i="4"/>
  <c r="D27" i="4"/>
  <c r="C27" i="4"/>
  <c r="M52" i="2"/>
  <c r="D53" i="4" l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F91" i="4" l="1"/>
  <c r="E91" i="4"/>
  <c r="I12" i="2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F97" i="4" s="1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E92" i="4" l="1"/>
  <c r="F92" i="4"/>
  <c r="F93" i="4"/>
  <c r="E93" i="4"/>
  <c r="H75" i="3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E48" i="2"/>
  <c r="C34" i="2"/>
  <c r="C33" i="2"/>
  <c r="C47" i="3"/>
  <c r="C45" i="3"/>
  <c r="C27" i="3"/>
  <c r="C26" i="3"/>
  <c r="C44" i="3"/>
  <c r="C46" i="3"/>
  <c r="F96" i="4" l="1"/>
  <c r="H80" i="3" s="1"/>
  <c r="I80" i="3" s="1"/>
  <c r="C35" i="2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C23" i="1" l="1"/>
  <c r="F80" i="3"/>
  <c r="E80" i="3" s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F94" i="4" l="1"/>
  <c r="H81" i="3" s="1"/>
  <c r="I81" i="3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95" i="4" l="1"/>
  <c r="F95" i="4"/>
  <c r="H82" i="3" s="1"/>
  <c r="E82" i="3"/>
  <c r="E83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<sst xmlns="http://schemas.openxmlformats.org/spreadsheetml/2006/main" count="391" uniqueCount="270">
  <si>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</si>
  <si>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</si>
  <si>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</si>
  <si>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</si>
  <si>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</si>
  <si>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</si>
  <si>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</si>
  <si>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</si>
  <si>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</si>
  <si>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</si>
  <si>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</si>
  <si>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</si>
  <si>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</si>
  <si>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</si>
  <si>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</si>
  <si>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</si>
  <si>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</si>
  <si>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</si>
  <si>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</si>
  <si>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</si>
  <si>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</si>
  <si>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</si>
  <si>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</si>
  <si>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</si>
  <si>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</si>
  <si>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</si>
  <si>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</si>
  <si>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</si>
  <si>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</si>
  <si>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</si>
  <si>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</si>
  <si>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</si>
  <si>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</si>
  <si>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</si>
  <si>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</si>
  <si>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</si>
  <si>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</si>
  <si>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</si>
  <si>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</si>
  <si>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</si>
  <si>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</si>
  <si>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</si>
  <si>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</si>
  <si>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</si>
  <si>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</si>
  <si>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</si>
  <si>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</si>
  <si>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</si>
  <si>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</si>
  <si>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</si>
  <si>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</si>
  <si>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</si>
  <si>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</si>
  <si>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</si>
  <si>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</si>
  <si>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</si>
  <si>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</si>
  <si>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</si>
  <si>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</si>
  <si>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</si>
  <si>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</si>
  <si>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</si>
  <si>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</si>
  <si>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</si>
  <si>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</si>
  <si>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</si>
  <si>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</si>
  <si>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</si>
  <si>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</si>
  <si>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</si>
  <si>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</si>
  <si>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</si>
  <si>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</si>
  <si>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</si>
  <si>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</si>
  <si>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</si>
  <si>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</si>
  <si>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</si>
  <si>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</si>
  <si>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</si>
  <si>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</si>
  <si>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</si>
  <si>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</si>
  <si>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</si>
  <si>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</si>
  <si>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</si>
  <si>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</si>
  <si>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</si>
  <si>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</si>
  <si>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</si>
  <si>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</si>
  <si>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</si>
  <si>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</si>
  <si>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</si>
  <si>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</si>
  <si>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</si>
  <si>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</si>
  <si>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</si>
  <si>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</si>
  <si>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</si>
  <si>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</si>
  <si>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</si>
  <si>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</si>
  <si>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</si>
  <si>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</si>
  <si>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</si>
  <si>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</si>
  <si>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</si>
  <si>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</si>
  <si>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</si>
  <si>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</si>
  <si>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</si>
  <si>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</si>
  <si>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</si>
  <si>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</si>
  <si>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</si>
  <si>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</si>
  <si>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</si>
  <si>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</si>
  <si>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</si>
  <si>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</si>
  <si>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</si>
  <si>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</si>
  <si>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</si>
  <si>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</si>
  <si>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</si>
  <si>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</si>
  <si>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</si>
  <si>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</si>
  <si>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</si>
  <si>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</si>
  <si>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</si>
  <si>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</si>
  <si>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</si>
  <si>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</si>
  <si>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</si>
  <si>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</si>
  <si>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</si>
  <si>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</si>
  <si>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</si>
  <si>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</si>
  <si>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</si>
  <si>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</si>
  <si>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</si>
  <si>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</si>
  <si>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</si>
  <si>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</si>
  <si>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</si>
  <si>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</si>
  <si>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</si>
  <si>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</si>
  <si>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</si>
  <si>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</si>
  <si>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</si>
  <si>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</si>
  <si>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</si>
  <si>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</si>
  <si>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</si>
  <si>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</si>
  <si>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</si>
  <si>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</si>
  <si>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</si>
  <si>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</si>
  <si>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</si>
  <si>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</si>
  <si>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</si>
  <si>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</si>
  <si>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</si>
  <si>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</si>
  <si>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</si>
  <si>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</si>
  <si>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</si>
  <si>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</si>
  <si>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</si>
  <si>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</si>
  <si>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</si>
  <si>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</si>
  <si>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</si>
  <si>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</si>
  <si>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</si>
  <si>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</si>
  <si>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</si>
  <si>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</si>
  <si>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</si>
  <si>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</si>
  <si>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</si>
  <si>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</si>
  <si>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</si>
  <si>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</si>
  <si>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</si>
  <si>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</si>
  <si>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</si>
  <si>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</si>
  <si>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</si>
  <si>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</si>
  <si>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</si>
  <si>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</si>
  <si>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</si>
  <si>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</si>
  <si>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</si>
  <si>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</si>
  <si>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</si>
  <si>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</si>
  <si>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</si>
  <si>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</si>
  <si>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</si>
  <si>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</si>
  <si>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</si>
  <si>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</si>
  <si>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</si>
  <si>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</si>
  <si>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</si>
  <si>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</si>
  <si>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</si>
  <si>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</si>
  <si>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</si>
  <si>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</si>
  <si>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</si>
  <si>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</si>
  <si>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</si>
  <si>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</si>
  <si>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</si>
  <si>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</si>
  <si>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</si>
  <si>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</si>
  <si>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</si>
  <si>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</si>
  <si>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</si>
  <si>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</si>
  <si>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</si>
  <si>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</si>
  <si>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</si>
  <si>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</si>
  <si>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</si>
  <si>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</si>
  <si>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</si>
  <si>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</si>
  <si>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</si>
  <si>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</si>
  <si>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</si>
  <si>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</si>
  <si>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</si>
  <si>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</si>
  <si>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</si>
  <si>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</si>
  <si>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</si>
  <si>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</si>
  <si>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</si>
  <si>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</si>
  <si>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</si>
  <si>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</si>
  <si>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</si>
  <si>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</si>
  <si>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</si>
  <si>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</si>
  <si>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</si>
  <si>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</si>
  <si>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</si>
  <si>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</si>
  <si>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</si>
  <si>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</si>
  <si>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</si>
  <si>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</si>
  <si>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</si>
  <si>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</si>
  <si>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</si>
  <si>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0806.HK</t>
  </si>
  <si>
    <t>VALUE PARTNERS</t>
  </si>
  <si>
    <t>C0008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</si>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</sst>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0.45236920614696147</c:v>
                </c:pt>
                <c:pt idx="1">
                  <c:v>0.75804302562269843</c:v>
                </c:pt>
                <c:pt idx="2">
                  <c:v>0</c:v>
                </c:pt>
                <c:pt idx="3">
                  <c:v>0</c:v>
                </c:pt>
                <c:pt idx="4">
                  <c:v>1.4464238544369687E-2</c:v>
                </c:pt>
                <c:pt idx="5">
                  <c:v>0</c:v>
                </c:pt>
                <c:pt idx="6">
                  <c:v>-0.22487647031402955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8" t="s">
        <v>266</v>
      </c>
    </row>
    <row r="5" spans="1:5" ht="13.9" x14ac:dyDescent="0.4">
      <c r="B5" s="141" t="s">
        <v>196</v>
      </c>
      <c r="C5" s="191" t="s">
        <v>267</v>
      </c>
    </row>
    <row r="6" spans="1:5" ht="13.9" x14ac:dyDescent="0.4">
      <c r="B6" s="141" t="s">
        <v>164</v>
      </c>
      <c r="C6" s="189">
        <v>45636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216</v>
      </c>
      <c r="C8" s="191" t="s">
        <v>71</v>
      </c>
      <c r="E8" s="267"/>
    </row>
    <row r="9" spans="1:5" ht="13.9" x14ac:dyDescent="0.4">
      <c r="B9" s="140" t="s">
        <v>217</v>
      </c>
      <c r="C9" s="192" t="s">
        <v>268</v>
      </c>
    </row>
    <row r="10" spans="1:5" ht="13.9" x14ac:dyDescent="0.4">
      <c r="B10" s="140" t="s">
        <v>218</v>
      </c>
      <c r="C10" s="193">
        <v>1826710016</v>
      </c>
    </row>
    <row r="11" spans="1:5" ht="13.9" x14ac:dyDescent="0.4">
      <c r="B11" s="140" t="s">
        <v>219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</v>
      </c>
    </row>
    <row r="14" spans="1:5" ht="13.9" x14ac:dyDescent="0.4">
      <c r="B14" s="218" t="s">
        <v>220</v>
      </c>
      <c r="C14" s="219">
        <v>45473</v>
      </c>
    </row>
    <row r="15" spans="1:5" ht="13.9" x14ac:dyDescent="0.4">
      <c r="B15" s="218" t="s">
        <v>257</v>
      </c>
      <c r="C15" s="176" t="s">
        <v>262</v>
      </c>
    </row>
    <row r="16" spans="1:5" ht="13.9" x14ac:dyDescent="0.4">
      <c r="B16" s="222" t="s">
        <v>97</v>
      </c>
      <c r="C16" s="223">
        <v>0.25</v>
      </c>
      <c r="D16" s="24"/>
    </row>
    <row r="17" spans="2:13" ht="13.9" x14ac:dyDescent="0.4">
      <c r="B17" s="240" t="s">
        <v>225</v>
      </c>
      <c r="C17" s="242" t="s">
        <v>246</v>
      </c>
      <c r="D17" s="24"/>
    </row>
    <row r="18" spans="2:13" ht="13.9" x14ac:dyDescent="0.4">
      <c r="B18" s="240" t="s">
        <v>239</v>
      </c>
      <c r="C18" s="242" t="s">
        <v>246</v>
      </c>
      <c r="D18" s="24"/>
    </row>
    <row r="19" spans="2:13" ht="13.9" x14ac:dyDescent="0.4">
      <c r="B19" s="240" t="s">
        <v>240</v>
      </c>
      <c r="C19" s="242" t="s">
        <v>246</v>
      </c>
      <c r="D19" s="24"/>
    </row>
    <row r="20" spans="2:13" ht="13.9" x14ac:dyDescent="0.4">
      <c r="B20" s="241" t="s">
        <v>229</v>
      </c>
      <c r="C20" s="242" t="s">
        <v>246</v>
      </c>
      <c r="D20" s="24"/>
    </row>
    <row r="21" spans="2:13" ht="13.9" x14ac:dyDescent="0.4">
      <c r="B21" s="224" t="s">
        <v>232</v>
      </c>
      <c r="C21" s="242" t="s">
        <v>246</v>
      </c>
      <c r="D21" s="24"/>
    </row>
    <row r="22" spans="2:13" ht="78.75" x14ac:dyDescent="0.4">
      <c r="B22" s="226" t="s">
        <v>231</v>
      </c>
      <c r="C22" s="243" t="s">
        <v>260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514856</v>
      </c>
      <c r="D25" s="149">
        <v>584543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106</v>
      </c>
      <c r="C26" s="150">
        <v>232905</v>
      </c>
      <c r="D26" s="150">
        <v>252590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104</v>
      </c>
      <c r="C27" s="150">
        <f>250848+7069+19250+113116</f>
        <v>390283</v>
      </c>
      <c r="D27" s="150">
        <f>330088+6978+20483+119776</f>
        <v>477325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258</v>
      </c>
      <c r="C29" s="150">
        <v>7447</v>
      </c>
      <c r="D29" s="150">
        <v>5293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111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110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105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108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117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149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138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137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208</v>
      </c>
      <c r="C44" s="250">
        <v>0.5</v>
      </c>
      <c r="D44" s="250">
        <v>3.3999923061679899E-2</v>
      </c>
      <c r="E44" s="250">
        <v>0.08</v>
      </c>
      <c r="F44" s="250">
        <f>0.26+0.08</f>
        <v>0.34</v>
      </c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254</v>
      </c>
      <c r="C45" s="152">
        <f>IF(C44="","",C44*Exchange_Rate/Dashboard!$G$3)</f>
        <v>0.31446540880503143</v>
      </c>
      <c r="D45" s="152">
        <f>IF(D44="","",D44*Exchange_Rate/Dashboard!$G$3)</f>
        <v>2.1383599409861571E-2</v>
      </c>
      <c r="E45" s="152">
        <f>IF(E44="","",E44*Exchange_Rate/Dashboard!$G$3)</f>
        <v>5.0314465408805027E-2</v>
      </c>
      <c r="F45" s="152">
        <f>IF(F44="","",F44*Exchange_Rate/Dashboard!$G$3)</f>
        <v>0.21383647798742139</v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250</v>
      </c>
      <c r="C47" s="194" t="s">
        <v>34</v>
      </c>
      <c r="D47" s="194" t="s">
        <v>197</v>
      </c>
      <c r="E47" s="111" t="s">
        <v>36</v>
      </c>
    </row>
    <row r="48" spans="2:13" ht="13.9" x14ac:dyDescent="0.4">
      <c r="B48" s="3" t="s">
        <v>38</v>
      </c>
      <c r="C48" s="59">
        <v>922361</v>
      </c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>
        <f>46927+74233+23318</f>
        <v>144478</v>
      </c>
      <c r="D50" s="60">
        <f>D51</f>
        <v>0.6</v>
      </c>
      <c r="E50" s="112"/>
    </row>
    <row r="51" spans="2:5" ht="13.9" x14ac:dyDescent="0.4">
      <c r="B51" s="3" t="s">
        <v>42</v>
      </c>
      <c r="C51" s="59">
        <v>179879</v>
      </c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264</v>
      </c>
      <c r="C54" s="59">
        <v>27002</v>
      </c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1" t="s">
        <v>71</v>
      </c>
    </row>
    <row r="57" spans="2:5" ht="13.9" x14ac:dyDescent="0.4">
      <c r="B57" s="3" t="s">
        <v>120</v>
      </c>
      <c r="C57" s="59"/>
      <c r="D57" s="60">
        <v>0.6</v>
      </c>
      <c r="E57" s="221" t="s">
        <v>46</v>
      </c>
    </row>
    <row r="58" spans="2:5" ht="13.9" x14ac:dyDescent="0.4">
      <c r="B58" s="3" t="s">
        <v>50</v>
      </c>
      <c r="C58" s="59">
        <f>553</f>
        <v>553</v>
      </c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5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>
        <v>1575035</v>
      </c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263</v>
      </c>
      <c r="C64" s="59"/>
      <c r="D64" s="60">
        <v>0.4</v>
      </c>
      <c r="E64" s="112"/>
    </row>
    <row r="65" spans="2:5" ht="13.9" x14ac:dyDescent="0.4">
      <c r="B65" s="3" t="s">
        <v>70</v>
      </c>
      <c r="C65" s="59">
        <f>512565+1009</f>
        <v>513574</v>
      </c>
      <c r="D65" s="60">
        <v>0.1</v>
      </c>
      <c r="E65" s="221" t="s">
        <v>71</v>
      </c>
    </row>
    <row r="66" spans="2:5" ht="13.9" x14ac:dyDescent="0.4">
      <c r="B66" s="3" t="s">
        <v>72</v>
      </c>
      <c r="C66" s="59">
        <v>187576</v>
      </c>
      <c r="D66" s="60">
        <v>0.2</v>
      </c>
      <c r="E66" s="221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1" t="s">
        <v>46</v>
      </c>
    </row>
    <row r="68" spans="2:5" ht="13.9" x14ac:dyDescent="0.4">
      <c r="B68" s="3" t="s">
        <v>119</v>
      </c>
      <c r="C68" s="59">
        <f>149516+38681</f>
        <v>188197</v>
      </c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>
        <v>11428</v>
      </c>
      <c r="D70" s="60">
        <v>0.05</v>
      </c>
      <c r="E70" s="112"/>
    </row>
    <row r="71" spans="2:5" ht="13.9" x14ac:dyDescent="0.4">
      <c r="B71" s="3" t="s">
        <v>75</v>
      </c>
      <c r="C71" s="59">
        <v>3593</v>
      </c>
      <c r="D71" s="60">
        <f>D58</f>
        <v>0.9</v>
      </c>
      <c r="E71" s="112"/>
    </row>
    <row r="72" spans="2:5" ht="14.25" thickBot="1" x14ac:dyDescent="0.45">
      <c r="B72" s="246" t="s">
        <v>76</v>
      </c>
      <c r="C72" s="247">
        <v>7278</v>
      </c>
      <c r="D72" s="248">
        <v>0</v>
      </c>
      <c r="E72" s="249"/>
    </row>
    <row r="73" spans="2:5" ht="13.9" x14ac:dyDescent="0.4">
      <c r="B73" s="3" t="s">
        <v>39</v>
      </c>
      <c r="C73" s="59">
        <v>1149</v>
      </c>
    </row>
    <row r="74" spans="2:5" ht="13.9" x14ac:dyDescent="0.4">
      <c r="B74" s="3" t="s">
        <v>40</v>
      </c>
      <c r="C74" s="59">
        <v>13306</v>
      </c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>
        <v>94912</v>
      </c>
    </row>
    <row r="78" spans="2:5" ht="14.25" thickTop="1" x14ac:dyDescent="0.4">
      <c r="B78" s="3" t="s">
        <v>62</v>
      </c>
      <c r="C78" s="59">
        <v>70891</v>
      </c>
    </row>
    <row r="79" spans="2:5" ht="13.9" x14ac:dyDescent="0.4">
      <c r="B79" s="3" t="s">
        <v>64</v>
      </c>
      <c r="C79" s="59">
        <v>24307</v>
      </c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>
        <v>95903</v>
      </c>
    </row>
    <row r="83" spans="2:8" ht="14.25" thickTop="1" x14ac:dyDescent="0.4">
      <c r="B83" s="73" t="s">
        <v>221</v>
      </c>
      <c r="C83" s="59">
        <v>3570139</v>
      </c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7">
        <v>5</v>
      </c>
    </row>
    <row r="87" spans="2:8" ht="13.9" x14ac:dyDescent="0.4">
      <c r="B87" s="10" t="s">
        <v>249</v>
      </c>
      <c r="C87" s="236" t="s">
        <v>252</v>
      </c>
      <c r="D87" s="269">
        <v>0.02</v>
      </c>
    </row>
    <row r="89" spans="2:8" ht="13.5" x14ac:dyDescent="0.35">
      <c r="B89" s="106" t="s">
        <v>128</v>
      </c>
      <c r="C89" s="271">
        <f>C24</f>
        <v>45291</v>
      </c>
      <c r="D89" s="271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2" t="s">
        <v>101</v>
      </c>
      <c r="D90" s="272"/>
      <c r="E90" s="235" t="s">
        <v>102</v>
      </c>
      <c r="F90" s="255" t="s">
        <v>102</v>
      </c>
    </row>
    <row r="91" spans="2:8" ht="13.9" x14ac:dyDescent="0.4">
      <c r="B91" s="3" t="s">
        <v>127</v>
      </c>
      <c r="C91" s="77">
        <f>C25</f>
        <v>514856</v>
      </c>
      <c r="D91" s="209"/>
      <c r="E91" s="251">
        <f>C91</f>
        <v>514856</v>
      </c>
      <c r="F91" s="251">
        <f>C91</f>
        <v>514856</v>
      </c>
    </row>
    <row r="92" spans="2:8" ht="13.9" x14ac:dyDescent="0.4">
      <c r="B92" s="104" t="s">
        <v>106</v>
      </c>
      <c r="C92" s="77">
        <f>C26</f>
        <v>232905</v>
      </c>
      <c r="D92" s="159">
        <f>C92/C91</f>
        <v>0.45236920614696147</v>
      </c>
      <c r="E92" s="252">
        <f>E91*D92</f>
        <v>232905</v>
      </c>
      <c r="F92" s="252">
        <f>F91*D92</f>
        <v>232905</v>
      </c>
    </row>
    <row r="93" spans="2:8" ht="13.9" x14ac:dyDescent="0.4">
      <c r="B93" s="104" t="s">
        <v>248</v>
      </c>
      <c r="C93" s="77">
        <f>C27+C28</f>
        <v>390283</v>
      </c>
      <c r="D93" s="159">
        <f>C93/C91</f>
        <v>0.75804302562269843</v>
      </c>
      <c r="E93" s="252">
        <f>E91*D93</f>
        <v>390283</v>
      </c>
      <c r="F93" s="252">
        <f>F91*D93</f>
        <v>390283</v>
      </c>
    </row>
    <row r="94" spans="2:8" ht="13.9" x14ac:dyDescent="0.4">
      <c r="B94" s="104" t="s">
        <v>258</v>
      </c>
      <c r="C94" s="77">
        <f>C29</f>
        <v>7447</v>
      </c>
      <c r="D94" s="159">
        <f>C94/C91</f>
        <v>1.4464238544369687E-2</v>
      </c>
      <c r="E94" s="253"/>
      <c r="F94" s="252">
        <f>F91*D94</f>
        <v>7447</v>
      </c>
    </row>
    <row r="95" spans="2:8" ht="13.9" x14ac:dyDescent="0.4">
      <c r="B95" s="28" t="s">
        <v>247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173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208</v>
      </c>
      <c r="C98" s="237">
        <f>C44</f>
        <v>0.5</v>
      </c>
      <c r="D98" s="266"/>
      <c r="E98" s="254">
        <v>0</v>
      </c>
      <c r="F98" s="254">
        <v>0.03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0806.HK : VALUE PARTNERS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7" t="str">
        <f>Inputs!C4</f>
        <v>0806.HK</v>
      </c>
      <c r="D3" s="278"/>
      <c r="E3" s="87"/>
      <c r="F3" s="3" t="s">
        <v>1</v>
      </c>
      <c r="G3" s="132">
        <v>1.59</v>
      </c>
      <c r="H3" s="134" t="s">
        <v>269</v>
      </c>
    </row>
    <row r="4" spans="1:10" ht="15.75" customHeight="1" x14ac:dyDescent="0.4">
      <c r="B4" s="35" t="s">
        <v>196</v>
      </c>
      <c r="C4" s="279" t="str">
        <f>Inputs!C5</f>
        <v>VALUE PARTNERS</v>
      </c>
      <c r="D4" s="280"/>
      <c r="E4" s="87"/>
      <c r="F4" s="3" t="s">
        <v>3</v>
      </c>
      <c r="G4" s="283">
        <f>Inputs!C10</f>
        <v>1826710016</v>
      </c>
      <c r="H4" s="283"/>
      <c r="I4" s="39"/>
    </row>
    <row r="5" spans="1:10" ht="15.75" customHeight="1" x14ac:dyDescent="0.4">
      <c r="B5" s="3" t="s">
        <v>164</v>
      </c>
      <c r="C5" s="281">
        <f>Inputs!C6</f>
        <v>45636</v>
      </c>
      <c r="D5" s="282"/>
      <c r="E5" s="34"/>
      <c r="F5" s="35" t="s">
        <v>100</v>
      </c>
      <c r="G5" s="275">
        <f>G3*G4/1000000</f>
        <v>2904.46892544</v>
      </c>
      <c r="H5" s="275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6" t="str">
        <f>Inputs!C11</f>
        <v>HKD</v>
      </c>
      <c r="H6" s="276"/>
      <c r="I6" s="38"/>
    </row>
    <row r="7" spans="1:10" ht="15.75" customHeight="1" x14ac:dyDescent="0.4">
      <c r="B7" s="86" t="s">
        <v>193</v>
      </c>
      <c r="C7" s="187" t="str">
        <f>Inputs!C8</f>
        <v>N</v>
      </c>
      <c r="D7" s="187" t="str">
        <f>Inputs!C9</f>
        <v>C0008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2">
        <v>4.2000000000000003E-2</v>
      </c>
      <c r="F10" s="110" t="s">
        <v>183</v>
      </c>
    </row>
    <row r="11" spans="1:10" ht="15.75" customHeight="1" thickBot="1" x14ac:dyDescent="0.45">
      <c r="B11" s="122" t="s">
        <v>180</v>
      </c>
      <c r="C11" s="173">
        <v>5.2299999999999999E-2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255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2">
        <v>1.8100000000000002E-2</v>
      </c>
      <c r="F14" s="110" t="s">
        <v>182</v>
      </c>
    </row>
    <row r="15" spans="1:10" ht="15.75" customHeight="1" x14ac:dyDescent="0.4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3">
        <v>0.16</v>
      </c>
      <c r="D16" s="265" t="str">
        <f>Inputs!C15</f>
        <v>CN</v>
      </c>
      <c r="F16" s="110" t="s">
        <v>179</v>
      </c>
    </row>
    <row r="17" spans="1:8" ht="15.75" customHeight="1" thickTop="1" x14ac:dyDescent="0.4">
      <c r="B17" s="87" t="s">
        <v>256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1">
        <f>Fin_Analysis!I75</f>
        <v>0.45236920614696147</v>
      </c>
      <c r="F20" s="87" t="s">
        <v>212</v>
      </c>
      <c r="G20" s="172">
        <v>0.15</v>
      </c>
    </row>
    <row r="21" spans="1:8" ht="15.75" customHeight="1" x14ac:dyDescent="0.4">
      <c r="B21" s="137" t="s">
        <v>245</v>
      </c>
      <c r="C21" s="171">
        <f>Fin_Analysis!I77</f>
        <v>0.75804302562269843</v>
      </c>
      <c r="F21" s="87"/>
      <c r="G21" s="29"/>
    </row>
    <row r="22" spans="1:8" ht="15.75" customHeight="1" x14ac:dyDescent="0.4">
      <c r="B22" s="137" t="s">
        <v>192</v>
      </c>
      <c r="C22" s="171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1">
        <f>Fin_Analysis!I80</f>
        <v>0</v>
      </c>
      <c r="F23" s="140" t="s">
        <v>189</v>
      </c>
      <c r="G23" s="177">
        <f>G3/(Data!C36*Data!C4/Common_Shares*Exchange_Rate)</f>
        <v>0.81354505397128807</v>
      </c>
    </row>
    <row r="24" spans="1:8" ht="15.75" customHeight="1" x14ac:dyDescent="0.4">
      <c r="B24" s="137" t="s">
        <v>171</v>
      </c>
      <c r="C24" s="171">
        <f>Fin_Analysis!I81</f>
        <v>1.4464238544369687E-2</v>
      </c>
      <c r="F24" s="140" t="s">
        <v>261</v>
      </c>
      <c r="G24" s="268">
        <f>G3/(Fin_Analysis!H86*G7)</f>
        <v>-33.448425309598456</v>
      </c>
    </row>
    <row r="25" spans="1:8" ht="15.75" customHeight="1" x14ac:dyDescent="0.4">
      <c r="B25" s="137" t="s">
        <v>244</v>
      </c>
      <c r="C25" s="171">
        <f>Fin_Analysis!I82</f>
        <v>0</v>
      </c>
      <c r="F25" s="140" t="s">
        <v>175</v>
      </c>
      <c r="G25" s="171">
        <f>Fin_Analysis!I88</f>
        <v>-0.63110236433204636</v>
      </c>
    </row>
    <row r="26" spans="1:8" ht="15.75" customHeight="1" x14ac:dyDescent="0.4">
      <c r="B26" s="138" t="s">
        <v>174</v>
      </c>
      <c r="C26" s="171">
        <f>Fin_Analysis!I83</f>
        <v>-0.22487647031402955</v>
      </c>
      <c r="F26" s="141" t="s">
        <v>194</v>
      </c>
      <c r="G26" s="178">
        <f>Fin_Analysis!H88*Exchange_Rate/G3</f>
        <v>1.8867924528301886E-2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259</v>
      </c>
      <c r="H28" s="273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0.54103715893361903</v>
      </c>
      <c r="D29" s="129">
        <f>G29*(1+G20)</f>
        <v>0.70361556623474475</v>
      </c>
      <c r="E29" s="87"/>
      <c r="F29" s="131">
        <f>IF(Fin_Analysis!C108="Profit",Fin_Analysis!F100,IF(Fin_Analysis!C108="Dividend",Fin_Analysis!F103,Fin_Analysis!F106))</f>
        <v>0.63651430462778713</v>
      </c>
      <c r="G29" s="274">
        <f>IF(Fin_Analysis!C108="Profit",Fin_Analysis!I100,IF(Fin_Analysis!C108="Dividend",Fin_Analysis!I103,Fin_Analysis!I106))</f>
        <v>0.61183962281282156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6" t="s">
        <v>224</v>
      </c>
      <c r="C32" s="224"/>
    </row>
    <row r="33" spans="1:3" ht="15.75" customHeight="1" x14ac:dyDescent="0.4">
      <c r="A33"/>
      <c r="B33" s="20" t="s">
        <v>225</v>
      </c>
      <c r="C33" s="245" t="str">
        <f>Inputs!C17</f>
        <v>unclear</v>
      </c>
    </row>
    <row r="34" spans="1:3" ht="15.75" customHeight="1" x14ac:dyDescent="0.4">
      <c r="A34"/>
      <c r="B34" s="19" t="s">
        <v>226</v>
      </c>
      <c r="C34" s="225" t="str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Strongly agree</v>
      </c>
    </row>
    <row r="35" spans="1:3" ht="15.75" customHeight="1" x14ac:dyDescent="0.4">
      <c r="A35"/>
      <c r="B35" s="196" t="s">
        <v>227</v>
      </c>
      <c r="C35" s="224"/>
    </row>
    <row r="36" spans="1:3" ht="15.75" customHeight="1" x14ac:dyDescent="0.4">
      <c r="A36"/>
      <c r="B36" s="20" t="s">
        <v>239</v>
      </c>
      <c r="C36" s="245" t="str">
        <f>Inputs!C18</f>
        <v>unclear</v>
      </c>
    </row>
    <row r="37" spans="1:3" ht="15.75" customHeight="1" x14ac:dyDescent="0.4">
      <c r="A37"/>
      <c r="B37" s="20" t="s">
        <v>240</v>
      </c>
      <c r="C37" s="245" t="str">
        <f>Inputs!C19</f>
        <v>unclear</v>
      </c>
    </row>
    <row r="38" spans="1:3" ht="15.75" customHeight="1" x14ac:dyDescent="0.4">
      <c r="A38"/>
      <c r="B38" s="196" t="s">
        <v>228</v>
      </c>
      <c r="C38" s="224"/>
    </row>
    <row r="39" spans="1:3" ht="15.75" customHeight="1" x14ac:dyDescent="0.4">
      <c r="A39"/>
      <c r="B39" s="19" t="s">
        <v>229</v>
      </c>
      <c r="C39" s="245" t="str">
        <f>Inputs!C20</f>
        <v>unclear</v>
      </c>
    </row>
    <row r="40" spans="1:3" ht="15.75" customHeight="1" x14ac:dyDescent="0.4">
      <c r="A40"/>
      <c r="B40" s="1" t="s">
        <v>232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6" t="s">
        <v>231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201</v>
      </c>
      <c r="F3" s="85" t="str">
        <f>H14</f>
        <v/>
      </c>
      <c r="G3" s="85">
        <f>C14</f>
        <v>-108332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6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514856</v>
      </c>
      <c r="D6" s="200">
        <f>IF(Inputs!D25="","",Inputs!D25)</f>
        <v>584543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-0.11921620821735956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199">
        <f>IF(Inputs!C26="","",Inputs!C26)</f>
        <v>232905</v>
      </c>
      <c r="D8" s="199">
        <f>IF(Inputs!D26="","",Inputs!D26)</f>
        <v>252590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1">
        <f t="shared" ref="C9:M9" si="2">IF(C6="","",(C6-C8))</f>
        <v>281951</v>
      </c>
      <c r="D9" s="151">
        <f t="shared" si="2"/>
        <v>331953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199">
        <f>IF(Inputs!C27="","",Inputs!C27)</f>
        <v>390283</v>
      </c>
      <c r="D10" s="199">
        <f>IF(Inputs!D27="","",Inputs!D27)</f>
        <v>477325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242</v>
      </c>
      <c r="C13" s="229">
        <f t="shared" ref="C13:M13" si="3">IF(C14="","",C14/C6)</f>
        <v>-0.21041223176965987</v>
      </c>
      <c r="D13" s="229">
        <f t="shared" si="3"/>
        <v>-0.24869342375154607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234</v>
      </c>
      <c r="C14" s="230">
        <f>IF(C6="","",C9-C10-MAX(C11,0)-MAX(C12,0))</f>
        <v>-108332</v>
      </c>
      <c r="D14" s="230">
        <f t="shared" ref="D14:M14" si="4">IF(D6="","",D9-D10-MAX(D11,0)-MAX(D12,0))</f>
        <v>-145372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243</v>
      </c>
      <c r="C15" s="232">
        <f>IF(D14="","",IF(ABS(C14+D14)=ABS(C14)+ABS(D14),IF(C14&lt;0,-1,1)*(C14-D14)/D14,"Turn"))</f>
        <v>0.25479459593319209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199">
        <f>IF(Inputs!C29="","",Inputs!C29)</f>
        <v>7447</v>
      </c>
      <c r="D17" s="199">
        <f>IF(Inputs!D29="","",Inputs!D29)</f>
        <v>5293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1">
        <f>IF(C6="","",C14-MAX(C16,0)-MAX(C17,0)-ABS(MAX(C21,0)-MAX(C19,0)))</f>
        <v>-115779</v>
      </c>
      <c r="D22" s="161">
        <f t="shared" ref="D22:M22" si="8">IF(D6="","",D14-MAX(D16,0)-MAX(D17,0)-ABS(MAX(D21,0)-MAX(D19,0)))</f>
        <v>-150665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3">
        <f t="shared" ref="C23:M23" si="9">IF(C6="","",C24/C6)</f>
        <v>-0.16865735273552215</v>
      </c>
      <c r="D23" s="153">
        <f t="shared" si="9"/>
        <v>-0.19331127051388863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4">
        <f>IF(C6="","",C22*(1-Fin_Analysis!$I$84))</f>
        <v>-86834.25</v>
      </c>
      <c r="D24" s="77">
        <f>IF(D6="","",D22*(1-Fin_Analysis!$I$84))</f>
        <v>-112998.75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129</v>
      </c>
      <c r="C25" s="233">
        <f>IF(D24="","",IF(ABS(C24+D24)=ABS(C24)+ABS(D24),IF(C24&lt;0,-1,1)*(C24-D24)/D24,"Turn"))</f>
        <v>0.23154680914611886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3760954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1274273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144478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94912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95903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14455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95198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109653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3570139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3378425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382529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5">
        <f>IF(C6="","",C14/MAX(C39,0))</f>
        <v>-0.28319944370230754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6">
        <f t="shared" ref="C42:M42" si="34">IF(C6="","",C8/C6)</f>
        <v>0.45236920614696147</v>
      </c>
      <c r="D42" s="156">
        <f t="shared" si="34"/>
        <v>0.43211534480782421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3">
        <f t="shared" ref="C43:M43" si="35">IF(C6="","",(C10+MAX(C11,0))/C6)</f>
        <v>0.75804302562269843</v>
      </c>
      <c r="D43" s="153">
        <f t="shared" si="35"/>
        <v>0.81657807894372181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3">
        <f t="shared" ref="C45:M45" si="37">IF(C6="","",MAX(C17,0)/C6)</f>
        <v>1.4464238544369687E-2</v>
      </c>
      <c r="D45" s="153">
        <f t="shared" si="37"/>
        <v>9.0549369336387579E-3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3">
        <f t="shared" ref="C48:M48" si="40">IF(C6="","",C22/C6)</f>
        <v>-0.22487647031402955</v>
      </c>
      <c r="D48" s="153">
        <f t="shared" si="40"/>
        <v>-0.25774836068518486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6">
        <f t="shared" ref="C50:M50" si="41">IF(C29="","",C29/C6)</f>
        <v>0.28061826996286338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265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125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20</v>
      </c>
      <c r="C54" s="156">
        <f>IF(C36="","",(C27-C36)/C27)</f>
        <v>5.0735797353543811E-2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121</v>
      </c>
      <c r="C55" s="157">
        <f t="shared" ref="C55:M55" si="45">IF(OR(C22="",C35=""),"",IF(C35&lt;=0,"-",C22/C35))</f>
        <v>-1.0558671445377692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123</v>
      </c>
      <c r="C56" s="153">
        <f t="shared" ref="C56:M56" si="46">IF(C22="","",IF(MAX(C17,0)&lt;=0,"-",C17/C22))</f>
        <v>-6.4320818110365441E-2</v>
      </c>
      <c r="D56" s="153">
        <f t="shared" si="46"/>
        <v>-3.5130919589818468E-2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21</v>
      </c>
      <c r="C57" s="158">
        <f t="shared" ref="C57:M57" si="47">IF(C28="","",C28/C31)</f>
        <v>13.425836564396494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3570139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3570139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13.425836564396494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1893640.4</v>
      </c>
      <c r="E6" s="56">
        <f>1-D6/D3</f>
        <v>0.46958916725651301</v>
      </c>
      <c r="F6" s="87"/>
      <c r="G6" s="87"/>
      <c r="H6" s="1" t="s">
        <v>30</v>
      </c>
      <c r="I6" s="63">
        <f>(C24+C25)/I28</f>
        <v>13.420010114632502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1.036639851653389</v>
      </c>
      <c r="E7" s="11" t="str">
        <f>Dashboard!H3</f>
        <v>HKD</v>
      </c>
      <c r="H7" s="1" t="s">
        <v>31</v>
      </c>
      <c r="I7" s="63">
        <f>C24/I28</f>
        <v>13.135515003371545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922361</v>
      </c>
      <c r="D11" s="198">
        <f>Inputs!D48</f>
        <v>0.9</v>
      </c>
      <c r="E11" s="88">
        <f t="shared" ref="E11:E22" si="0">C11*D11</f>
        <v>830124.9</v>
      </c>
      <c r="F11" s="112"/>
      <c r="G11" s="87"/>
      <c r="H11" s="3" t="s">
        <v>39</v>
      </c>
      <c r="I11" s="40">
        <f>Inputs!C73</f>
        <v>1149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13306</v>
      </c>
      <c r="J12" s="87"/>
      <c r="K12" s="24"/>
    </row>
    <row r="13" spans="1:11" ht="13.9" x14ac:dyDescent="0.4">
      <c r="B13" s="3" t="s">
        <v>117</v>
      </c>
      <c r="C13" s="40">
        <f>Inputs!C50</f>
        <v>144478</v>
      </c>
      <c r="D13" s="198">
        <f>Inputs!D50</f>
        <v>0.6</v>
      </c>
      <c r="E13" s="88">
        <f t="shared" si="0"/>
        <v>86686.8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179879</v>
      </c>
      <c r="D14" s="198">
        <f>Inputs!D51</f>
        <v>0.6</v>
      </c>
      <c r="E14" s="88">
        <f t="shared" si="0"/>
        <v>107927.4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14455</v>
      </c>
      <c r="J15" s="87"/>
    </row>
    <row r="16" spans="1:11" ht="13.9" x14ac:dyDescent="0.4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27002</v>
      </c>
      <c r="D17" s="198">
        <f>Inputs!D54</f>
        <v>0.1</v>
      </c>
      <c r="E17" s="88">
        <f t="shared" si="0"/>
        <v>2700.2000000000003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553</v>
      </c>
      <c r="D21" s="198">
        <f>Inputs!D58</f>
        <v>0.9</v>
      </c>
      <c r="E21" s="88">
        <f t="shared" si="0"/>
        <v>497.7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80457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1246718</v>
      </c>
      <c r="D24" s="62">
        <f>IF(E24=0,0,E24/C24)</f>
        <v>0.82194939031922221</v>
      </c>
      <c r="E24" s="88">
        <f>SUM(E11:E14)</f>
        <v>1024739.1000000001</v>
      </c>
      <c r="F24" s="113">
        <f>E24/$E$28</f>
        <v>0.99688901168067701</v>
      </c>
      <c r="G24" s="87"/>
    </row>
    <row r="25" spans="2:10" ht="15" customHeight="1" x14ac:dyDescent="0.4">
      <c r="B25" s="23" t="s">
        <v>55</v>
      </c>
      <c r="C25" s="61">
        <f>SUM(C15:C17)</f>
        <v>27002</v>
      </c>
      <c r="D25" s="62">
        <f>IF(E25=0,0,E25/C25)</f>
        <v>0.1</v>
      </c>
      <c r="E25" s="88">
        <f>SUM(E15:E17)</f>
        <v>2700.2000000000003</v>
      </c>
      <c r="F25" s="113">
        <f>E25/$E$28</f>
        <v>2.6268146783314543E-3</v>
      </c>
      <c r="G25" s="87"/>
      <c r="H25" s="23" t="s">
        <v>56</v>
      </c>
      <c r="I25" s="63">
        <f>E28/I28</f>
        <v>10.830421864463924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>
        <f>E26/$E$28</f>
        <v>0</v>
      </c>
      <c r="G26" s="87"/>
      <c r="H26" s="23" t="s">
        <v>58</v>
      </c>
      <c r="I26" s="63">
        <f>E24/($I$28-I22)</f>
        <v>70.891670702179184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553</v>
      </c>
      <c r="D27" s="62">
        <f>IF(E27=0,0,E27/C27)</f>
        <v>0.9</v>
      </c>
      <c r="E27" s="88">
        <f>E21+E22</f>
        <v>497.7</v>
      </c>
      <c r="F27" s="113">
        <f>E27/$E$28</f>
        <v>4.8417364099161717E-4</v>
      </c>
      <c r="G27" s="87"/>
      <c r="H27" s="23" t="s">
        <v>60</v>
      </c>
      <c r="I27" s="63">
        <f>(E25+E24)/$I$28</f>
        <v>10.825178059676333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1274273</v>
      </c>
      <c r="D28" s="57">
        <f>E28/C28</f>
        <v>0.80668506670077766</v>
      </c>
      <c r="E28" s="70">
        <f>SUM(E24:E27)</f>
        <v>1027937</v>
      </c>
      <c r="F28" s="112"/>
      <c r="G28" s="87"/>
      <c r="H28" s="78" t="s">
        <v>16</v>
      </c>
      <c r="I28" s="206">
        <f>Inputs!C77</f>
        <v>94912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70891</v>
      </c>
      <c r="J30" s="87"/>
    </row>
    <row r="31" spans="2:10" ht="15" customHeight="1" x14ac:dyDescent="0.4">
      <c r="B31" s="3" t="s">
        <v>63</v>
      </c>
      <c r="C31" s="40">
        <f>Inputs!C61</f>
        <v>1575035</v>
      </c>
      <c r="D31" s="198">
        <f>Inputs!D61</f>
        <v>0.6</v>
      </c>
      <c r="E31" s="88">
        <f t="shared" ref="E31:E42" si="1">C31*D31</f>
        <v>945021</v>
      </c>
      <c r="F31" s="112"/>
      <c r="G31" s="87"/>
      <c r="H31" s="3" t="s">
        <v>64</v>
      </c>
      <c r="I31" s="40">
        <f>Inputs!C79</f>
        <v>24307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95198</v>
      </c>
      <c r="J34" s="87"/>
    </row>
    <row r="35" spans="2:10" ht="13.9" x14ac:dyDescent="0.4">
      <c r="B35" s="3" t="s">
        <v>70</v>
      </c>
      <c r="C35" s="40">
        <f>Inputs!C65</f>
        <v>513574</v>
      </c>
      <c r="D35" s="198">
        <f>Inputs!D65</f>
        <v>0.1</v>
      </c>
      <c r="E35" s="88">
        <f t="shared" si="1"/>
        <v>51357.4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187576</v>
      </c>
      <c r="D36" s="198">
        <f>Inputs!D66</f>
        <v>0.2</v>
      </c>
      <c r="E36" s="88">
        <f t="shared" si="1"/>
        <v>37515.200000000004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188197</v>
      </c>
      <c r="D38" s="198">
        <f>Inputs!D68</f>
        <v>0.1</v>
      </c>
      <c r="E38" s="88">
        <f t="shared" si="1"/>
        <v>18819.7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11428</v>
      </c>
      <c r="D40" s="198">
        <f>Inputs!D70</f>
        <v>0.05</v>
      </c>
      <c r="E40" s="88">
        <f t="shared" si="1"/>
        <v>571.4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3593</v>
      </c>
      <c r="D41" s="198">
        <f>Inputs!D71</f>
        <v>0.9</v>
      </c>
      <c r="E41" s="88">
        <f t="shared" si="1"/>
        <v>3233.7000000000003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7278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705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1575035</v>
      </c>
      <c r="D44" s="62">
        <f>IF(E44=0,0,E44/C44)</f>
        <v>0.6</v>
      </c>
      <c r="E44" s="88">
        <f>SUM(E30:E31)</f>
        <v>945021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513574</v>
      </c>
      <c r="D45" s="62">
        <f>IF(E45=0,0,E45/C45)</f>
        <v>0.1</v>
      </c>
      <c r="E45" s="88">
        <f>SUM(E32:E35)</f>
        <v>51357.4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375773</v>
      </c>
      <c r="D46" s="62">
        <f>IF(E46=0,0,E46/C46)</f>
        <v>0.14991737032729868</v>
      </c>
      <c r="E46" s="88">
        <f>E36+E37+E38+E39</f>
        <v>56334.900000000009</v>
      </c>
      <c r="F46" s="87"/>
      <c r="G46" s="87"/>
      <c r="H46" s="23" t="s">
        <v>81</v>
      </c>
      <c r="I46" s="63">
        <f>(E44+E24)/E64</f>
        <v>17.963576919920111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1">
        <f>C40+C41+C42</f>
        <v>22299</v>
      </c>
      <c r="D47" s="62">
        <f>IF(E47=0,0,E47/C47)</f>
        <v>0.17063993901071797</v>
      </c>
      <c r="E47" s="88">
        <f>E40+E41+E42</f>
        <v>3805.1000000000004</v>
      </c>
      <c r="F47" s="87"/>
      <c r="G47" s="87"/>
      <c r="H47" s="23" t="s">
        <v>83</v>
      </c>
      <c r="I47" s="63">
        <f>(E44+E45+E24+E25)/$I$49</f>
        <v>10.60617718732804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2486681</v>
      </c>
      <c r="D48" s="82">
        <f>E48/C48</f>
        <v>0.42487090221866008</v>
      </c>
      <c r="E48" s="76">
        <f>SUM(E30:E42)</f>
        <v>1056518.3999999999</v>
      </c>
      <c r="F48" s="87"/>
      <c r="G48" s="87"/>
      <c r="H48" s="80" t="s">
        <v>85</v>
      </c>
      <c r="I48" s="207">
        <f>Inputs!C82</f>
        <v>95903</v>
      </c>
      <c r="J48" s="8"/>
    </row>
    <row r="49" spans="2:11" ht="15" customHeight="1" thickTop="1" x14ac:dyDescent="0.4">
      <c r="B49" s="3" t="s">
        <v>14</v>
      </c>
      <c r="C49" s="61">
        <f>C28+C48</f>
        <v>3760954</v>
      </c>
      <c r="D49" s="56">
        <f>E49/C49</f>
        <v>0.5542358135728328</v>
      </c>
      <c r="E49" s="88">
        <f>E28+E48</f>
        <v>2084455.4</v>
      </c>
      <c r="F49" s="87"/>
      <c r="G49" s="87"/>
      <c r="H49" s="3" t="s">
        <v>86</v>
      </c>
      <c r="I49" s="52">
        <f>I28+I48</f>
        <v>190815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4">
        <f>I15+I34</f>
        <v>109653</v>
      </c>
      <c r="E56" s="282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2456064</v>
      </c>
      <c r="D61" s="56">
        <f t="shared" ref="D61:D70" si="2">IF(E61=0,0,E61/C61)</f>
        <v>0.46489871599437138</v>
      </c>
      <c r="E61" s="52">
        <f>E14+E15+(E19*G19)+(E20*G20)+E31+E32+(E35*G35)+(E36*G36)+(E37*G37)</f>
        <v>1141820.9999999998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922361</v>
      </c>
      <c r="D62" s="107">
        <f t="shared" si="2"/>
        <v>0.9</v>
      </c>
      <c r="E62" s="118">
        <f>E11+E30</f>
        <v>830124.9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3378425</v>
      </c>
      <c r="D63" s="29">
        <f t="shared" si="2"/>
        <v>0.58368793150654519</v>
      </c>
      <c r="E63" s="61">
        <f>E61+E62</f>
        <v>1971945.9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8"/>
      <c r="D64" s="208"/>
      <c r="E64" s="69">
        <f>D56+D57+D58</f>
        <v>109653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3268772</v>
      </c>
      <c r="D65" s="29">
        <f t="shared" si="2"/>
        <v>0.56972248293854688</v>
      </c>
      <c r="E65" s="61">
        <f>E63-E64</f>
        <v>1862292.9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382529</v>
      </c>
      <c r="D68" s="29">
        <f t="shared" si="2"/>
        <v>0.29412018435203607</v>
      </c>
      <c r="E68" s="68">
        <f>E49-E63</f>
        <v>112509.5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8"/>
      <c r="D69" s="208"/>
      <c r="E69" s="126">
        <f>I49-E64</f>
        <v>81162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301367</v>
      </c>
      <c r="D70" s="29">
        <f t="shared" si="2"/>
        <v>0.10401769271353532</v>
      </c>
      <c r="E70" s="68">
        <f>E68-E69</f>
        <v>31347.5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1">
        <f>Data!C5</f>
        <v>45291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4">
      <c r="B74" s="3" t="s">
        <v>127</v>
      </c>
      <c r="C74" s="77">
        <f>Data!C6</f>
        <v>514856</v>
      </c>
      <c r="D74" s="209"/>
      <c r="E74" s="238">
        <f>Inputs!E91</f>
        <v>514856</v>
      </c>
      <c r="F74" s="209"/>
      <c r="H74" s="238">
        <f>Inputs!F91</f>
        <v>514856</v>
      </c>
      <c r="I74" s="209"/>
      <c r="K74" s="24"/>
    </row>
    <row r="75" spans="1:11" ht="15" customHeight="1" x14ac:dyDescent="0.4">
      <c r="B75" s="104" t="s">
        <v>106</v>
      </c>
      <c r="C75" s="77">
        <f>Data!C8</f>
        <v>232905</v>
      </c>
      <c r="D75" s="159">
        <f>C75/$C$74</f>
        <v>0.45236920614696147</v>
      </c>
      <c r="E75" s="238">
        <f>Inputs!E92</f>
        <v>232905</v>
      </c>
      <c r="F75" s="160">
        <f>E75/E74</f>
        <v>0.45236920614696147</v>
      </c>
      <c r="H75" s="238">
        <f>Inputs!F92</f>
        <v>232905</v>
      </c>
      <c r="I75" s="160">
        <f>H75/$H$74</f>
        <v>0.45236920614696147</v>
      </c>
      <c r="K75" s="24"/>
    </row>
    <row r="76" spans="1:11" ht="15" customHeight="1" x14ac:dyDescent="0.4">
      <c r="B76" s="35" t="s">
        <v>96</v>
      </c>
      <c r="C76" s="161">
        <f>C74-C75</f>
        <v>281951</v>
      </c>
      <c r="D76" s="210"/>
      <c r="E76" s="162">
        <f>E74-E75</f>
        <v>281951</v>
      </c>
      <c r="F76" s="210"/>
      <c r="H76" s="162">
        <f>H74-H75</f>
        <v>281951</v>
      </c>
      <c r="I76" s="210"/>
      <c r="K76" s="24"/>
    </row>
    <row r="77" spans="1:11" ht="15" customHeight="1" x14ac:dyDescent="0.4">
      <c r="B77" s="104" t="s">
        <v>248</v>
      </c>
      <c r="C77" s="77">
        <f>Data!C10+MAX(Data!C11,0)</f>
        <v>390283</v>
      </c>
      <c r="D77" s="159">
        <f>C77/$C$74</f>
        <v>0.75804302562269843</v>
      </c>
      <c r="E77" s="238">
        <f>Inputs!E93</f>
        <v>390283</v>
      </c>
      <c r="F77" s="160">
        <f>E77/E74</f>
        <v>0.75804302562269843</v>
      </c>
      <c r="H77" s="238">
        <f>Inputs!F93</f>
        <v>390283</v>
      </c>
      <c r="I77" s="160">
        <f>H77/$H$74</f>
        <v>0.75804302562269843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233</v>
      </c>
      <c r="C79" s="257">
        <f>C76-C77-C78</f>
        <v>-108332</v>
      </c>
      <c r="D79" s="258">
        <f>C79/C74</f>
        <v>-0.21041223176965987</v>
      </c>
      <c r="E79" s="259">
        <f>E76-E77-E78</f>
        <v>-108332</v>
      </c>
      <c r="F79" s="258">
        <f>E79/E74</f>
        <v>-0.21041223176965987</v>
      </c>
      <c r="G79" s="260"/>
      <c r="H79" s="259">
        <f>H76-H77-H78</f>
        <v>-108332</v>
      </c>
      <c r="I79" s="258">
        <f>H79/H74</f>
        <v>-0.21041223176965987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132</v>
      </c>
    </row>
    <row r="81" spans="1:11" ht="15" customHeight="1" x14ac:dyDescent="0.4">
      <c r="B81" s="104" t="s">
        <v>258</v>
      </c>
      <c r="C81" s="77">
        <f>MAX(Data!C17,0)</f>
        <v>7447</v>
      </c>
      <c r="D81" s="159">
        <f>C81/$C$74</f>
        <v>1.4464238544369687E-2</v>
      </c>
      <c r="E81" s="180">
        <f>E74*F81</f>
        <v>7447</v>
      </c>
      <c r="F81" s="160">
        <f>I81</f>
        <v>1.4464238544369687E-2</v>
      </c>
      <c r="H81" s="238">
        <f>Inputs!F94</f>
        <v>7447</v>
      </c>
      <c r="I81" s="160">
        <f>H81/$H$74</f>
        <v>1.4464238544369687E-2</v>
      </c>
      <c r="K81" s="24"/>
    </row>
    <row r="82" spans="1:11" ht="15" customHeight="1" x14ac:dyDescent="0.4">
      <c r="B82" s="28" t="s">
        <v>247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126</v>
      </c>
      <c r="C83" s="163">
        <f>C79-C81-C82-C80</f>
        <v>-115779</v>
      </c>
      <c r="D83" s="164">
        <f>C83/$C$74</f>
        <v>-0.22487647031402955</v>
      </c>
      <c r="E83" s="165">
        <f>E79-E81-E82-E80</f>
        <v>-115779</v>
      </c>
      <c r="F83" s="164">
        <f>E83/E74</f>
        <v>-0.22487647031402955</v>
      </c>
      <c r="H83" s="165">
        <f>H79-H81-H82-H80</f>
        <v>-115779</v>
      </c>
      <c r="I83" s="164">
        <f>H83/$H$74</f>
        <v>-0.22487647031402955</v>
      </c>
      <c r="K83" s="24"/>
    </row>
    <row r="84" spans="1:11" ht="15" customHeight="1" thickTop="1" x14ac:dyDescent="0.4">
      <c r="B84" s="28" t="s">
        <v>97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165</v>
      </c>
      <c r="C85" s="257">
        <f>C83*(1-I84)</f>
        <v>-86834.25</v>
      </c>
      <c r="D85" s="258">
        <f>C85/$C$74</f>
        <v>-0.16865735273552215</v>
      </c>
      <c r="E85" s="264">
        <f>E83*(1-F84)</f>
        <v>-86834.25</v>
      </c>
      <c r="F85" s="258">
        <f>E85/E74</f>
        <v>-0.16865735273552215</v>
      </c>
      <c r="G85" s="260"/>
      <c r="H85" s="264">
        <f>H83*(1-I84)</f>
        <v>-86834.25</v>
      </c>
      <c r="I85" s="258">
        <f>H85/$H$74</f>
        <v>-0.16865735273552215</v>
      </c>
      <c r="K85" s="24"/>
    </row>
    <row r="86" spans="1:11" ht="15" customHeight="1" x14ac:dyDescent="0.4">
      <c r="B86" s="87" t="s">
        <v>161</v>
      </c>
      <c r="C86" s="167">
        <f>C85*Data!C4/Common_Shares</f>
        <v>-4.7535870083059754E-2</v>
      </c>
      <c r="D86" s="209"/>
      <c r="E86" s="168">
        <f>E85*Data!C4/Common_Shares</f>
        <v>-4.7535870083059754E-2</v>
      </c>
      <c r="F86" s="209"/>
      <c r="H86" s="168">
        <f>H85*Data!C4/Common_Shares</f>
        <v>-4.7535870083059754E-2</v>
      </c>
      <c r="I86" s="209"/>
      <c r="K86" s="24"/>
    </row>
    <row r="87" spans="1:11" ht="15" customHeight="1" x14ac:dyDescent="0.4">
      <c r="B87" s="87" t="s">
        <v>209</v>
      </c>
      <c r="C87" s="261">
        <f>C86*Exchange_Rate/Dashboard!G3</f>
        <v>-2.9896773637144498E-2</v>
      </c>
      <c r="D87" s="209"/>
      <c r="E87" s="262">
        <f>E86*Exchange_Rate/Dashboard!G3</f>
        <v>-2.9896773637144498E-2</v>
      </c>
      <c r="F87" s="209"/>
      <c r="H87" s="262">
        <f>H86*Exchange_Rate/Dashboard!G3</f>
        <v>-2.9896773637144498E-2</v>
      </c>
      <c r="I87" s="209"/>
      <c r="K87" s="24"/>
    </row>
    <row r="88" spans="1:11" ht="15" customHeight="1" x14ac:dyDescent="0.4">
      <c r="B88" s="86" t="s">
        <v>208</v>
      </c>
      <c r="C88" s="169">
        <f>Inputs!C44</f>
        <v>0.5</v>
      </c>
      <c r="D88" s="166">
        <f>C88/C86</f>
        <v>-10.51837273886744</v>
      </c>
      <c r="E88" s="170">
        <f>Inputs!E98</f>
        <v>0</v>
      </c>
      <c r="F88" s="166">
        <f>E88/E86</f>
        <v>0</v>
      </c>
      <c r="H88" s="170">
        <f>Inputs!F98</f>
        <v>0.03</v>
      </c>
      <c r="I88" s="166">
        <f>H88/H86</f>
        <v>-0.63110236433204636</v>
      </c>
      <c r="K88" s="24"/>
    </row>
    <row r="89" spans="1:11" ht="15" customHeight="1" x14ac:dyDescent="0.4">
      <c r="B89" s="87" t="s">
        <v>222</v>
      </c>
      <c r="C89" s="261">
        <f>C88*Exchange_Rate/Dashboard!G3</f>
        <v>0.31446540880503143</v>
      </c>
      <c r="D89" s="209"/>
      <c r="E89" s="261">
        <f>E88*Exchange_Rate/Dashboard!G3</f>
        <v>0</v>
      </c>
      <c r="F89" s="209"/>
      <c r="H89" s="261">
        <f>H88*Exchange_Rate/Dashboard!G3</f>
        <v>1.8867924528301886E-2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8" t="str">
        <f>Inputs!C15</f>
        <v>CN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210</v>
      </c>
      <c r="F93" s="144">
        <f>FV(E87,D93,0,-(E86/(C93-D94)))*Exchange_Rate</f>
        <v>-0.61648896852517754</v>
      </c>
      <c r="H93" s="87" t="s">
        <v>210</v>
      </c>
      <c r="I93" s="144">
        <f>FV(H87,D93,0,-(H86/(C93-D94)))*Exchange_Rate</f>
        <v>-0.61648896852517754</v>
      </c>
      <c r="K93" s="24"/>
    </row>
    <row r="94" spans="1:11" ht="15" customHeight="1" x14ac:dyDescent="0.4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0</v>
      </c>
      <c r="H94" s="87" t="s">
        <v>211</v>
      </c>
      <c r="I94" s="144">
        <f>FV(H89,D93,0,-(H88/(C93-D94)))*Exchange_Rate</f>
        <v>0.49719279124997701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-559893.87690914597</v>
      </c>
      <c r="D97" s="213"/>
      <c r="E97" s="123">
        <f>PV(C94,D93,0,-F93)</f>
        <v>-0.30650397271875796</v>
      </c>
      <c r="F97" s="213"/>
      <c r="H97" s="123">
        <f>PV(C94,D93,0,-I93)</f>
        <v>-0.30650397271875796</v>
      </c>
      <c r="I97" s="123">
        <f>PV(C93,D93,0,-I93)</f>
        <v>-0.40763959594020022</v>
      </c>
      <c r="K97" s="24"/>
    </row>
    <row r="98" spans="2:11" ht="15" customHeight="1" x14ac:dyDescent="0.4">
      <c r="B98" s="28" t="s">
        <v>145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1862292.9</v>
      </c>
      <c r="D99" s="214"/>
      <c r="E99" s="145">
        <f>IF(H99&gt;0,H99*(1-C94),H99*(1+C94))</f>
        <v>0.86655733594006845</v>
      </c>
      <c r="F99" s="214"/>
      <c r="H99" s="145">
        <f>C99*Data!$C$4/Common_Shares</f>
        <v>1.0194792187530217</v>
      </c>
      <c r="I99" s="216"/>
      <c r="K99" s="24"/>
    </row>
    <row r="100" spans="2:11" ht="15" customHeight="1" thickTop="1" x14ac:dyDescent="0.4">
      <c r="B100" s="1" t="s">
        <v>115</v>
      </c>
      <c r="C100" s="91">
        <f>C97+C98+$C$99</f>
        <v>1302399.0230908538</v>
      </c>
      <c r="D100" s="109">
        <f>MIN(F100*(1-C94),E100)</f>
        <v>0.54103715893361903</v>
      </c>
      <c r="E100" s="109">
        <f>MAX(E97+H98+E99,0)</f>
        <v>0.5600533632213105</v>
      </c>
      <c r="F100" s="109">
        <f>(E100+H100)/2</f>
        <v>0.63651430462778713</v>
      </c>
      <c r="H100" s="109">
        <f>MAX(C100*Data!$C$4/Common_Shares,0)</f>
        <v>0.71297524603426377</v>
      </c>
      <c r="I100" s="109">
        <f>MAX(I97+H98+H99,0)</f>
        <v>0.61183962281282156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451549.36045357701</v>
      </c>
      <c r="D103" s="109">
        <f>MIN(F103*(1-C94),E103)</f>
        <v>0</v>
      </c>
      <c r="E103" s="123">
        <f>PV(C94,D93,0,-F94)</f>
        <v>0</v>
      </c>
      <c r="F103" s="109">
        <f>(E103+H103)/2</f>
        <v>0.12359634438375386</v>
      </c>
      <c r="H103" s="123">
        <f>PV(C94,D93,0,-I94)</f>
        <v>0.24719268876750772</v>
      </c>
      <c r="I103" s="109">
        <f>PV(C93,D93,0,-I94)</f>
        <v>0.32875765646606803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511527.54404542694</v>
      </c>
      <c r="D106" s="109">
        <f>(D100+D103)/2</f>
        <v>0.27051857946680952</v>
      </c>
      <c r="E106" s="123">
        <f>(E100+E103)/2</f>
        <v>0.28002668161065525</v>
      </c>
      <c r="F106" s="109">
        <f>(F100+F103)/2</f>
        <v>0.38005532450577051</v>
      </c>
      <c r="H106" s="123">
        <f>(H100+H103)/2</f>
        <v>0.48008396740088577</v>
      </c>
      <c r="I106" s="123">
        <f>(I100+I103)/2</f>
        <v>0.47029863963944479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2024-12-16T03:17:41Z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