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5CF0186-CA32-4979-BD63-484900C97C8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2" i="4" l="1"/>
  <c r="C32" i="4"/>
  <c r="D31" i="4"/>
  <c r="C31" i="4"/>
  <c r="D33" i="4"/>
  <c r="C33" i="4"/>
  <c r="F44" i="4"/>
  <c r="C44" i="4"/>
  <c r="E44" i="4"/>
  <c r="D44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E95" i="4" s="1"/>
  <c r="F98" i="4" l="1"/>
  <c r="F91" i="4"/>
  <c r="F95" i="4" s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C29" i="1" s="1"/>
  <c r="D106" i="3" l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<sst xmlns="http://schemas.openxmlformats.org/spreadsheetml/2006/main" count="391" uniqueCount="271">
  <si>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</si>
  <si>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</si>
  <si>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</si>
  <si>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</si>
  <si>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</si>
  <si>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</si>
  <si>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</si>
  <si>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</si>
  <si>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</si>
  <si>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</si>
  <si>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</si>
  <si>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</si>
  <si>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</si>
  <si>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</si>
  <si>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</si>
  <si>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</si>
  <si>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</si>
  <si>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</si>
  <si>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</si>
  <si>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</si>
  <si>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</si>
  <si>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</si>
  <si>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</si>
  <si>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</si>
  <si>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</si>
  <si>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</si>
  <si>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</si>
  <si>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</si>
  <si>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</si>
  <si>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</si>
  <si>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</si>
  <si>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</si>
  <si>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</si>
  <si>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</si>
  <si>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</si>
  <si>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</si>
  <si>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</si>
  <si>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</si>
  <si>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</si>
  <si>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</si>
  <si>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</si>
  <si>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</si>
  <si>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</si>
  <si>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</si>
  <si>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</si>
  <si>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</si>
  <si>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</si>
  <si>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</si>
  <si>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</si>
  <si>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</si>
  <si>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</si>
  <si>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</si>
  <si>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</si>
  <si>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</si>
  <si>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</si>
  <si>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</si>
  <si>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</si>
  <si>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</si>
  <si>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</si>
  <si>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</si>
  <si>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</si>
  <si>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</si>
  <si>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</si>
  <si>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</si>
  <si>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</si>
  <si>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</si>
  <si>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</si>
  <si>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</si>
  <si>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</si>
  <si>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</si>
  <si>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</si>
  <si>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</si>
  <si>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</si>
  <si>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</si>
  <si>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</si>
  <si>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</si>
  <si>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</si>
  <si>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</si>
  <si>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</si>
  <si>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</si>
  <si>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</si>
  <si>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</si>
  <si>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</si>
  <si>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</si>
  <si>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</si>
  <si>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</si>
  <si>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</si>
  <si>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</si>
  <si>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</si>
  <si>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</si>
  <si>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</si>
  <si>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</si>
  <si>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</si>
  <si>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</si>
  <si>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</si>
  <si>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</si>
  <si>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</si>
  <si>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</si>
  <si>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</si>
  <si>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</si>
  <si>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</si>
  <si>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</si>
  <si>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</si>
  <si>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</si>
  <si>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</si>
  <si>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</si>
  <si>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</si>
  <si>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</si>
  <si>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</si>
  <si>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</si>
  <si>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</si>
  <si>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</si>
  <si>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</si>
  <si>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</si>
  <si>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</si>
  <si>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</si>
  <si>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</si>
  <si>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</si>
  <si>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</si>
  <si>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</si>
  <si>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</si>
  <si>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</si>
  <si>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</si>
  <si>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</si>
  <si>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</si>
  <si>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</si>
  <si>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</si>
  <si>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</si>
  <si>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</si>
  <si>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</si>
  <si>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</si>
  <si>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</si>
  <si>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</si>
  <si>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</si>
  <si>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</si>
  <si>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</si>
  <si>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</si>
  <si>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</si>
  <si>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</si>
  <si>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</si>
  <si>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</si>
  <si>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</si>
  <si>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</si>
  <si>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</si>
  <si>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</si>
  <si>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</si>
  <si>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</si>
  <si>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</si>
  <si>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</si>
  <si>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</si>
  <si>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</si>
  <si>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</si>
  <si>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</si>
  <si>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</si>
  <si>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</si>
  <si>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</si>
  <si>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</si>
  <si>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</si>
  <si>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</si>
  <si>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</si>
  <si>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</si>
  <si>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</si>
  <si>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</si>
  <si>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</si>
  <si>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</si>
  <si>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</si>
  <si>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</si>
  <si>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</si>
  <si>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</si>
  <si>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</si>
  <si>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</si>
  <si>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</si>
  <si>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</si>
  <si>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</si>
  <si>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</si>
  <si>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</si>
  <si>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</si>
  <si>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</si>
  <si>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</si>
  <si>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</si>
  <si>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</si>
  <si>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</si>
  <si>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</si>
  <si>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</si>
  <si>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</si>
  <si>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</si>
  <si>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</si>
  <si>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</si>
  <si>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</si>
  <si>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</si>
  <si>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</si>
  <si>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</si>
  <si>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</si>
  <si>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</si>
  <si>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</si>
  <si>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</si>
  <si>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</si>
  <si>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</si>
  <si>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</si>
  <si>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</si>
  <si>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</si>
  <si>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</si>
  <si>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</si>
  <si>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</si>
  <si>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</si>
  <si>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</si>
  <si>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</si>
  <si>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</si>
  <si>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</si>
  <si>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</si>
  <si>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</si>
  <si>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</si>
  <si>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</si>
  <si>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</si>
  <si>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</si>
  <si>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</si>
  <si>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</si>
  <si>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</si>
  <si>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</si>
  <si>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</si>
  <si>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</si>
  <si>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</si>
  <si>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</si>
  <si>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</si>
  <si>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</si>
  <si>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</si>
  <si>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</si>
  <si>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</si>
  <si>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</si>
  <si>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</si>
  <si>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</si>
  <si>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</si>
  <si>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</si>
  <si>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</si>
  <si>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</si>
  <si>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</si>
  <si>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</si>
  <si>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</si>
  <si>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</si>
  <si>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</si>
  <si>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</si>
  <si>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</si>
  <si>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</si>
  <si>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</si>
  <si>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</si>
  <si>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</si>
  <si>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</si>
  <si>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</si>
  <si>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</si>
  <si>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</si>
  <si>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</si>
  <si>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</si>
  <si>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</si>
  <si>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</si>
  <si>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</si>
  <si>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</si>
  <si>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</si>
  <si>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</si>
  <si>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</si>
  <si>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</si>
  <si>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</si>
  <si>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</si>
  <si>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</si>
  <si>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</si>
  <si>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</si>
  <si>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1044.HK</t>
    <phoneticPr fontId="20" type="noConversion"/>
  </si>
  <si>
    <t>C0007</t>
    <phoneticPr fontId="20" type="noConversion"/>
  </si>
  <si>
    <t>CNY</t>
    <phoneticPr fontId="20" type="noConversion"/>
  </si>
  <si>
    <t>HKD</t>
    <phoneticPr fontId="20" type="noConversion"/>
  </si>
  <si>
    <t>恒安國際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</si>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</sst>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0.66296240447635002</c:v>
                </c:pt>
                <c:pt idx="1">
                  <c:v>0.21326576274860384</c:v>
                </c:pt>
                <c:pt idx="2">
                  <c:v>3.8544925959634583E-4</c:v>
                </c:pt>
                <c:pt idx="3">
                  <c:v>0</c:v>
                </c:pt>
                <c:pt idx="4">
                  <c:v>2.7203750464491323E-2</c:v>
                </c:pt>
                <c:pt idx="5">
                  <c:v>0.01</c:v>
                </c:pt>
                <c:pt idx="6">
                  <c:v>8.6182633050958496E-2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7" sqref="C1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1162120917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646577</v>
      </c>
      <c r="D29" s="150">
        <v>468159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6871</v>
      </c>
      <c r="D30" s="150">
        <v>24051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4126200-4644583</f>
        <v>-518383</v>
      </c>
      <c r="D31" s="150">
        <f>3352219-4803030</f>
        <v>-1450811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808830+5967+54201+30822</f>
        <v>899820</v>
      </c>
      <c r="D32" s="150">
        <f>793670+53694+6219+33410</f>
        <v>886993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1469761+50745</f>
        <v>1520506</v>
      </c>
      <c r="D33" s="150">
        <f>1121618+123039</f>
        <v>1244657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0.7+0.7</f>
        <v>1.4</v>
      </c>
      <c r="D44" s="250">
        <f>0.7+0.7</f>
        <v>1.4</v>
      </c>
      <c r="E44" s="250">
        <f>0.7+0.7</f>
        <v>1.4</v>
      </c>
      <c r="F44" s="250">
        <f>1.3+1.2</f>
        <v>2.5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6.7578790419257781E-2</v>
      </c>
      <c r="D45" s="152">
        <f>IF(D44="","",D44*Exchange_Rate/Dashboard!$G$3)</f>
        <v>6.7578790419257781E-2</v>
      </c>
      <c r="E45" s="152">
        <f>IF(E44="","",E44*Exchange_Rate/Dashboard!$G$3)</f>
        <v>6.7578790419257781E-2</v>
      </c>
      <c r="F45" s="152">
        <f>IF(F44="","",F44*Exchange_Rate/Dashboard!$G$3)</f>
        <v>0.12067641146296035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105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247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257</v>
      </c>
      <c r="C94" s="77">
        <f>C29</f>
        <v>646577</v>
      </c>
      <c r="D94" s="159">
        <f>C94/C91</f>
        <v>2.7203750464491323E-2</v>
      </c>
      <c r="E94" s="253"/>
      <c r="F94" s="252">
        <f>F91*D94</f>
        <v>646577</v>
      </c>
    </row>
    <row r="95" spans="2:8" ht="13.9" x14ac:dyDescent="0.4">
      <c r="B95" s="28" t="s">
        <v>246</v>
      </c>
      <c r="C95" s="77">
        <f>ABS(MAX(C33,0)-C32)</f>
        <v>620686</v>
      </c>
      <c r="D95" s="159">
        <f>C95/C91</f>
        <v>2.6114425754091564E-2</v>
      </c>
      <c r="E95" s="252">
        <f>E91*2%</f>
        <v>475358.72000000003</v>
      </c>
      <c r="F95" s="252">
        <f>F91*1%</f>
        <v>237679.36000000002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9161.3333333333339</v>
      </c>
      <c r="D97" s="159">
        <f>C97/C91</f>
        <v>3.8544925959634583E-4</v>
      </c>
      <c r="E97" s="253"/>
      <c r="F97" s="252">
        <f>F91*D97</f>
        <v>9161.3333333333339</v>
      </c>
    </row>
    <row r="98" spans="2:7" ht="13.9" x14ac:dyDescent="0.4">
      <c r="B98" s="86" t="s">
        <v>207</v>
      </c>
      <c r="C98" s="237">
        <f>C44</f>
        <v>1.4</v>
      </c>
      <c r="D98" s="266"/>
      <c r="E98" s="254">
        <f>F98</f>
        <v>1.4</v>
      </c>
      <c r="F98" s="254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4" sqref="C1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1044.HK</v>
      </c>
      <c r="D3" s="279"/>
      <c r="E3" s="87"/>
      <c r="F3" s="3" t="s">
        <v>1</v>
      </c>
      <c r="G3" s="132">
        <v>22.15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恒安國際</v>
      </c>
      <c r="D4" s="281"/>
      <c r="E4" s="87"/>
      <c r="F4" s="3" t="s">
        <v>2</v>
      </c>
      <c r="G4" s="284">
        <f>Inputs!C10</f>
        <v>1162120917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25740.978311549999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0.66296240447635002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0.21326576274860384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3.8544925959634583E-4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2.7203750464491323E-2</v>
      </c>
      <c r="F24" s="140" t="s">
        <v>260</v>
      </c>
      <c r="G24" s="268">
        <f>G3/(Fin_Analysis!H86*G7)</f>
        <v>15.670990537272774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1.0590265851805289</v>
      </c>
    </row>
    <row r="26" spans="1:8" ht="15.75" customHeight="1" x14ac:dyDescent="0.4">
      <c r="B26" s="138" t="s">
        <v>173</v>
      </c>
      <c r="C26" s="171">
        <f>Fin_Analysis!I83</f>
        <v>8.6182633050958496E-2</v>
      </c>
      <c r="F26" s="141" t="s">
        <v>193</v>
      </c>
      <c r="G26" s="178">
        <f>Fin_Analysis!H88*Exchange_Rate/G3</f>
        <v>6.7578790419257781E-2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11.385154453592218</v>
      </c>
      <c r="D29" s="129">
        <f>G29*(1+G20)</f>
        <v>22.103704999724819</v>
      </c>
      <c r="E29" s="87"/>
      <c r="F29" s="131">
        <f>IF(Fin_Analysis!C108="Profit",Fin_Analysis!F100,IF(Fin_Analysis!C108="Dividend",Fin_Analysis!F103,Fin_Analysis!F106))</f>
        <v>13.394299357167316</v>
      </c>
      <c r="G29" s="275">
        <f>IF(Fin_Analysis!C108="Profit",Fin_Analysis!I100,IF(Fin_Analysis!C108="Dividend",Fin_Analysis!I103,Fin_Analysis!I106))</f>
        <v>19.220613043238973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D38" sqref="D3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9161.3333333333339</v>
      </c>
      <c r="D12" s="199">
        <f>IF(Inputs!D30="","",MAX(Inputs!D30,0)/(1-Fin_Analysis!$I$84))</f>
        <v>32068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0.12338638351544982</v>
      </c>
      <c r="D13" s="229">
        <f t="shared" si="3"/>
        <v>0.12241921361620363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2932639.6666666665</v>
      </c>
      <c r="D14" s="230">
        <f t="shared" ref="D14:M14" si="4">IF(D6="","",D9-D10-MAX(D11,0)-MAX(D12,0))</f>
        <v>2768618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5.9243155490091633E-2</v>
      </c>
      <c r="D15" s="232">
        <f t="shared" ref="D15:M15" si="5">IF(E14="","",IF(ABS(D14+E14)=ABS(D14)+ABS(E14),IF(D14&lt;0,-1,1)*(D14-E14)/E14,"Turn"))</f>
        <v>-0.14707434477553316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-518383</v>
      </c>
      <c r="D16" s="199">
        <f>IF(Inputs!D31="","",Inputs!D31)</f>
        <v>-1450811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646577</v>
      </c>
      <c r="D17" s="199">
        <f>IF(Inputs!D29="","",Inputs!D29)</f>
        <v>468159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3.7858567104859249E-2</v>
      </c>
      <c r="D18" s="152">
        <f t="shared" si="6"/>
        <v>3.9219923276911914E-2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899820</v>
      </c>
      <c r="D19" s="199">
        <f>IF(Inputs!D32="","",Inputs!D32)</f>
        <v>886993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6.397299285895082E-2</v>
      </c>
      <c r="D20" s="152">
        <f t="shared" si="7"/>
        <v>5.5034653087534344E-2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1520506</v>
      </c>
      <c r="D21" s="199">
        <f>IF(Inputs!D33="","",Inputs!D33)</f>
        <v>1244657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1665376.6666666665</v>
      </c>
      <c r="D22" s="161">
        <f t="shared" ref="D22:M22" si="8">IF(D6="","",D14-MAX(D16,0)-MAX(D17,0)-ABS(MAX(D21,0)-MAX(D19,0)))</f>
        <v>1942795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5.2551155472650213E-2</v>
      </c>
      <c r="D23" s="153">
        <f t="shared" si="9"/>
        <v>6.4428020437676578E-2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-0.14279341532860304</v>
      </c>
      <c r="D25" s="233">
        <f t="shared" ref="D25:M25" si="10">IF(E24="","",IF(ABS(D24+E24)=ABS(D24)+ABS(E24),IF(D24&lt;0,-1,1)*(D24-E24)/E24,"Turn"))</f>
        <v>-0.40148489306151369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0.66296240447635002</v>
      </c>
      <c r="D42" s="156">
        <f t="shared" si="34"/>
        <v>0.65999555710373037</v>
      </c>
      <c r="E42" s="156">
        <f t="shared" si="34"/>
        <v>0.62615371976259515</v>
      </c>
      <c r="F42" s="156">
        <f t="shared" si="34"/>
        <v>0.57737308584191094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0.21326576274860384</v>
      </c>
      <c r="D43" s="153">
        <f t="shared" si="35"/>
        <v>0.21616728742523283</v>
      </c>
      <c r="E43" s="153">
        <f t="shared" si="35"/>
        <v>0.21771340304328821</v>
      </c>
      <c r="F43" s="153">
        <f t="shared" si="35"/>
        <v>0.21600615821908653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2.7203750464491323E-2</v>
      </c>
      <c r="D45" s="153">
        <f t="shared" si="37"/>
        <v>2.0700456555345761E-2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3.8544925959634583E-4</v>
      </c>
      <c r="D46" s="153">
        <f t="shared" ref="D46:M46" si="38">IF(D6="","",MAX(D12,0)/D6)</f>
        <v>1.4179418548331399E-3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2.6114425754091564E-2</v>
      </c>
      <c r="D47" s="153">
        <f t="shared" ref="D47:M47" si="39">IF(D6="","",ABS(MAX(D21,0)-MAX(D19,0))/D6)</f>
        <v>1.581472981062243E-2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7.0068207296866941E-2</v>
      </c>
      <c r="D48" s="153">
        <f t="shared" si="40"/>
        <v>8.5904027250235437E-2</v>
      </c>
      <c r="E48" s="153">
        <f t="shared" si="40"/>
        <v>0.15613287719411659</v>
      </c>
      <c r="F48" s="153">
        <f t="shared" si="40"/>
        <v>0.20662075593900259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-0.44996258868911115</v>
      </c>
      <c r="D52" s="153">
        <f t="shared" ref="D52:M52" si="43">IF(E6="","",D16/(D6-E6))</f>
        <v>-0.79464533168577678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0.38824670294808183</v>
      </c>
      <c r="D56" s="153">
        <f t="shared" si="46"/>
        <v>0.24097189873352567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F95" sqref="F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95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172</v>
      </c>
      <c r="C78" s="77">
        <f>MAX(Data!C12,0)</f>
        <v>9161.3333333333339</v>
      </c>
      <c r="D78" s="159">
        <f>C78/$C$74</f>
        <v>3.8544925959634583E-4</v>
      </c>
      <c r="E78" s="180">
        <f>E74*F78</f>
        <v>9161.3333333333339</v>
      </c>
      <c r="F78" s="160">
        <f>I78</f>
        <v>3.8544925959634583E-4</v>
      </c>
      <c r="H78" s="238">
        <f>Inputs!F97</f>
        <v>9161.3333333333339</v>
      </c>
      <c r="I78" s="160">
        <f>H78/$H$74</f>
        <v>3.8544925959634583E-4</v>
      </c>
      <c r="K78" s="24"/>
    </row>
    <row r="79" spans="1:11" ht="15" customHeight="1" x14ac:dyDescent="0.4">
      <c r="B79" s="256" t="s">
        <v>232</v>
      </c>
      <c r="C79" s="257">
        <f>C76-C77-C78</f>
        <v>2932639.6666666665</v>
      </c>
      <c r="D79" s="258">
        <f>C79/C74</f>
        <v>0.12338638351544982</v>
      </c>
      <c r="E79" s="259">
        <f>E76-E77-E78</f>
        <v>2932639.6666666665</v>
      </c>
      <c r="F79" s="258">
        <f>E79/E74</f>
        <v>0.12338638351544982</v>
      </c>
      <c r="G79" s="260"/>
      <c r="H79" s="259">
        <f>H76-H77-H78</f>
        <v>2932639.6666666665</v>
      </c>
      <c r="I79" s="258">
        <f>H79/H74</f>
        <v>0.12338638351544982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646577</v>
      </c>
      <c r="D81" s="159">
        <f>C81/$C$74</f>
        <v>2.7203750464491323E-2</v>
      </c>
      <c r="E81" s="180">
        <f>E74*F81</f>
        <v>646577</v>
      </c>
      <c r="F81" s="160">
        <f>I81</f>
        <v>2.7203750464491323E-2</v>
      </c>
      <c r="H81" s="238">
        <f>Inputs!F94</f>
        <v>646577</v>
      </c>
      <c r="I81" s="160">
        <f>H81/$H$74</f>
        <v>2.7203750464491323E-2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620686</v>
      </c>
      <c r="D82" s="159">
        <f>C82/$C$74</f>
        <v>2.6114425754091564E-2</v>
      </c>
      <c r="E82" s="238">
        <f>Inputs!E95</f>
        <v>475358.72000000003</v>
      </c>
      <c r="F82" s="160">
        <f>E82/E74</f>
        <v>0.02</v>
      </c>
      <c r="H82" s="238">
        <f>Inputs!F95</f>
        <v>237679.36000000002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1665376.6666666665</v>
      </c>
      <c r="D83" s="164">
        <f>C83/$C$74</f>
        <v>7.0068207296866941E-2</v>
      </c>
      <c r="E83" s="165">
        <f>E79-E81-E82-E80</f>
        <v>1810703.9466666665</v>
      </c>
      <c r="F83" s="164">
        <f>E83/E74</f>
        <v>7.6182633050958501E-2</v>
      </c>
      <c r="H83" s="165">
        <f>H79-H81-H82-H80</f>
        <v>2048383.3066666664</v>
      </c>
      <c r="I83" s="164">
        <f>H83/$H$74</f>
        <v>8.6182633050958496E-2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1249032.5</v>
      </c>
      <c r="D85" s="258">
        <f>C85/$C$74</f>
        <v>5.2551155472650213E-2</v>
      </c>
      <c r="E85" s="264">
        <f>E83*(1-F84)</f>
        <v>1358027.96</v>
      </c>
      <c r="F85" s="258">
        <f>E85/E74</f>
        <v>5.7136974788218886E-2</v>
      </c>
      <c r="G85" s="260"/>
      <c r="H85" s="264">
        <f>H83*(1-I84)</f>
        <v>1536287.4799999997</v>
      </c>
      <c r="I85" s="258">
        <f>H85/$H$74</f>
        <v>6.4636974788218879E-2</v>
      </c>
      <c r="K85" s="24"/>
    </row>
    <row r="86" spans="1:11" ht="15" customHeight="1" x14ac:dyDescent="0.4">
      <c r="B86" s="87" t="s">
        <v>160</v>
      </c>
      <c r="C86" s="167">
        <f>C85*Data!C4/Common_Shares</f>
        <v>1.0747870395658665</v>
      </c>
      <c r="D86" s="209"/>
      <c r="E86" s="168">
        <f>E85*Data!C4/Common_Shares</f>
        <v>1.1685771593421892</v>
      </c>
      <c r="F86" s="209"/>
      <c r="H86" s="168">
        <f>H85*Data!C4/Common_Shares</f>
        <v>1.3219687018162498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5.1880577208683026E-2</v>
      </c>
      <c r="D87" s="209"/>
      <c r="E87" s="262">
        <f>E86*Exchange_Rate/Dashboard!G3</f>
        <v>5.6407879242798165E-2</v>
      </c>
      <c r="F87" s="209"/>
      <c r="H87" s="262">
        <f>H86*Exchange_Rate/Dashboard!G3</f>
        <v>6.3812175600613322E-2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</v>
      </c>
      <c r="D88" s="166">
        <f>C88/C86</f>
        <v>1.3025836267671176</v>
      </c>
      <c r="E88" s="170">
        <f>Inputs!E98</f>
        <v>1.4</v>
      </c>
      <c r="F88" s="166">
        <f>E88/E86</f>
        <v>1.1980381345020319</v>
      </c>
      <c r="H88" s="170">
        <f>Inputs!F98</f>
        <v>1.4</v>
      </c>
      <c r="I88" s="166">
        <f>H88/H86</f>
        <v>1.0590265851805289</v>
      </c>
      <c r="K88" s="24"/>
    </row>
    <row r="89" spans="1:11" ht="15" customHeight="1" x14ac:dyDescent="0.4">
      <c r="B89" s="87" t="s">
        <v>221</v>
      </c>
      <c r="C89" s="261">
        <f>C88*Exchange_Rate/Dashboard!G3</f>
        <v>6.7578790419257781E-2</v>
      </c>
      <c r="D89" s="209"/>
      <c r="E89" s="261">
        <f>E88*Exchange_Rate/Dashboard!G3</f>
        <v>6.7578790419257781E-2</v>
      </c>
      <c r="F89" s="209"/>
      <c r="H89" s="261">
        <f>H88*Exchange_Rate/Dashboard!G3</f>
        <v>6.7578790419257781E-2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24.813371548667554</v>
      </c>
      <c r="H93" s="87" t="s">
        <v>209</v>
      </c>
      <c r="I93" s="144">
        <f>FV(H87,D93,0,-(H86/(C93-D94)))*Exchange_Rate</f>
        <v>29.068069018462651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31.33270916101052</v>
      </c>
      <c r="H94" s="87" t="s">
        <v>210</v>
      </c>
      <c r="I94" s="144">
        <f>FV(H89,D93,0,-(H88/(C93-D94)))*Exchange_Rate</f>
        <v>31.33270916101052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16794933.90487368</v>
      </c>
      <c r="D97" s="213"/>
      <c r="E97" s="123">
        <f>PV(C94,D93,0,-F93)</f>
        <v>12.336631058310006</v>
      </c>
      <c r="F97" s="213"/>
      <c r="H97" s="123">
        <f>PV(C94,D93,0,-I93)</f>
        <v>14.451967656024626</v>
      </c>
      <c r="I97" s="123">
        <f>PV(C93,D93,0,-I93)</f>
        <v>19.220613043238973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16794933.90487368</v>
      </c>
      <c r="D100" s="109">
        <f>MIN(F100*(1-C94),E100)</f>
        <v>11.385154453592218</v>
      </c>
      <c r="E100" s="109">
        <f>MAX(E97+H98+E99,0)</f>
        <v>12.336631058310006</v>
      </c>
      <c r="F100" s="109">
        <f>(E100+H100)/2</f>
        <v>13.394299357167316</v>
      </c>
      <c r="H100" s="109">
        <f>MAX(C100*Data!$C$4/Common_Shares,0)</f>
        <v>14.451967656024626</v>
      </c>
      <c r="I100" s="109">
        <f>MAX(I97+H98+H99,0)</f>
        <v>19.220613043238973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18103396.516829688</v>
      </c>
      <c r="D103" s="109">
        <f>MIN(F103*(1-C94),E103)</f>
        <v>13.241209941413725</v>
      </c>
      <c r="E103" s="123">
        <f>PV(C94,D93,0,-F94)</f>
        <v>15.57789404872203</v>
      </c>
      <c r="F103" s="109">
        <f>(E103+H103)/2</f>
        <v>15.57789404872203</v>
      </c>
      <c r="H103" s="123">
        <f>PV(C94,D93,0,-I94)</f>
        <v>15.57789404872203</v>
      </c>
      <c r="I103" s="109">
        <f>PV(C93,D93,0,-I94)</f>
        <v>20.718055884538522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16220026.757501794</v>
      </c>
      <c r="D106" s="109">
        <f>(D100+D103)/2</f>
        <v>12.313182197502972</v>
      </c>
      <c r="E106" s="123">
        <f>(E100+E103)/2</f>
        <v>13.957262553516017</v>
      </c>
      <c r="F106" s="109">
        <f>(F100+F103)/2</f>
        <v>14.486096702944673</v>
      </c>
      <c r="H106" s="123">
        <f>(H100+H103)/2</f>
        <v>15.014930852373329</v>
      </c>
      <c r="I106" s="123">
        <f>(I100+I103)/2</f>
        <v>19.96933446388875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