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E17878-226A-4D1A-8A01-3C41EC5E4E3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30" i="4" l="1"/>
  <c r="G30" i="4"/>
  <c r="F44" i="4"/>
  <c r="E44" i="4"/>
  <c r="F30" i="4"/>
  <c r="E30" i="4"/>
  <c r="D44" i="4"/>
  <c r="C44" i="4"/>
  <c r="D30" i="4"/>
  <c r="C30" i="4"/>
  <c r="M52" i="2" l="1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l="1"/>
  <c r="E92" i="4" s="1"/>
  <c r="F91" i="4"/>
  <c r="F92" i="4" s="1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F52" i="2"/>
  <c r="C52" i="2"/>
  <c r="G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5" i="3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<sst xmlns="http://schemas.openxmlformats.org/spreadsheetml/2006/main" count="391" uniqueCount="271">
  <si>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</si>
  <si>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</si>
  <si>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</si>
  <si>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</si>
  <si>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</si>
  <si>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</si>
  <si>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</si>
  <si>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</si>
  <si>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</si>
  <si>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</si>
  <si>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</si>
  <si>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</si>
  <si>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</si>
  <si>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</si>
  <si>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</si>
  <si>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</si>
  <si>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</si>
  <si>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</si>
  <si>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</si>
  <si>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</si>
  <si>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</si>
  <si>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</si>
  <si>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</si>
  <si>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</si>
  <si>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</si>
  <si>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</si>
  <si>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</si>
  <si>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</si>
  <si>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</si>
  <si>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</si>
  <si>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</si>
  <si>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</si>
  <si>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</si>
  <si>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</si>
  <si>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</si>
  <si>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</si>
  <si>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</si>
  <si>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</si>
  <si>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</si>
  <si>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</si>
  <si>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</si>
  <si>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</si>
  <si>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</si>
  <si>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</si>
  <si>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</si>
  <si>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</si>
  <si>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</si>
  <si>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</si>
  <si>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</si>
  <si>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</si>
  <si>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</si>
  <si>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</si>
  <si>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</si>
  <si>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</si>
  <si>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</si>
  <si>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</si>
  <si>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</si>
  <si>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</si>
  <si>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</si>
  <si>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</si>
  <si>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</si>
  <si>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</si>
  <si>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</si>
  <si>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</si>
  <si>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</si>
  <si>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</si>
  <si>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</si>
  <si>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</si>
  <si>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</si>
  <si>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</si>
  <si>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</si>
  <si>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</si>
  <si>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</si>
  <si>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</si>
  <si>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</si>
  <si>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</si>
  <si>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</si>
  <si>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</si>
  <si>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</si>
  <si>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</si>
  <si>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</si>
  <si>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</si>
  <si>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</si>
  <si>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</si>
  <si>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</si>
  <si>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</si>
  <si>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</si>
  <si>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</si>
  <si>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</si>
  <si>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</si>
  <si>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</si>
  <si>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</si>
  <si>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</si>
  <si>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</si>
  <si>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</si>
  <si>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</si>
  <si>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</si>
  <si>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</si>
  <si>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</si>
  <si>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</si>
  <si>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</si>
  <si>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</si>
  <si>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</si>
  <si>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</si>
  <si>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</si>
  <si>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</si>
  <si>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</si>
  <si>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</si>
  <si>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</si>
  <si>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</si>
  <si>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</si>
  <si>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</si>
  <si>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</si>
  <si>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</si>
  <si>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</si>
  <si>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</si>
  <si>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</si>
  <si>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</si>
  <si>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</si>
  <si>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</si>
  <si>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</si>
  <si>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</si>
  <si>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</si>
  <si>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</si>
  <si>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</si>
  <si>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</si>
  <si>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</si>
  <si>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</si>
  <si>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</si>
  <si>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</si>
  <si>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</si>
  <si>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</si>
  <si>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</si>
  <si>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</si>
  <si>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</si>
  <si>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</si>
  <si>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</si>
  <si>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</si>
  <si>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</si>
  <si>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</si>
  <si>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</si>
  <si>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</si>
  <si>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</si>
  <si>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</si>
  <si>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</si>
  <si>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</si>
  <si>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</si>
  <si>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</si>
  <si>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</si>
  <si>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</si>
  <si>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</si>
  <si>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</si>
  <si>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</si>
  <si>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</si>
  <si>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</si>
  <si>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</si>
  <si>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</si>
  <si>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</si>
  <si>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</si>
  <si>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</si>
  <si>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</si>
  <si>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</si>
  <si>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</si>
  <si>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</si>
  <si>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</si>
  <si>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</si>
  <si>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</si>
  <si>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</si>
  <si>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</si>
  <si>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</si>
  <si>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</si>
  <si>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</si>
  <si>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</si>
  <si>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</si>
  <si>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</si>
  <si>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</si>
  <si>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</si>
  <si>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</si>
  <si>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</si>
  <si>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</si>
  <si>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</si>
  <si>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</si>
  <si>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</si>
  <si>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</si>
  <si>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</si>
  <si>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</si>
  <si>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</si>
  <si>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</si>
  <si>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</si>
  <si>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</si>
  <si>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</si>
  <si>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</si>
  <si>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</si>
  <si>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</si>
  <si>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</si>
  <si>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</si>
  <si>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</si>
  <si>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</si>
  <si>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</si>
  <si>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</si>
  <si>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</si>
  <si>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</si>
  <si>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</si>
  <si>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</si>
  <si>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</si>
  <si>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</si>
  <si>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</si>
  <si>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</si>
  <si>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</si>
  <si>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</si>
  <si>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</si>
  <si>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</si>
  <si>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</si>
  <si>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</si>
  <si>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</si>
  <si>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</si>
  <si>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</si>
  <si>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</si>
  <si>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</si>
  <si>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</si>
  <si>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</si>
  <si>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</si>
  <si>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</si>
  <si>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</si>
  <si>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</si>
  <si>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</si>
  <si>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</si>
  <si>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</si>
  <si>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</si>
  <si>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</si>
  <si>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</si>
  <si>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</si>
  <si>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</si>
  <si>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</si>
  <si>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</si>
  <si>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</si>
  <si>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</si>
  <si>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</si>
  <si>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</si>
  <si>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</si>
  <si>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</si>
  <si>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</si>
  <si>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</si>
  <si>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</si>
  <si>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</si>
  <si>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</si>
  <si>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</si>
  <si>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</si>
  <si>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</si>
  <si>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</si>
  <si>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</si>
  <si>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</si>
  <si>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</si>
  <si>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</si>
  <si>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</si>
  <si>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</si>
  <si>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</si>
  <si>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</si>
  <si>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</si>
  <si>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</si>
  <si>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</si>
  <si>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</si>
  <si>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</si>
  <si>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</si>
  <si>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</si>
  <si>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1171.HK</t>
    <phoneticPr fontId="20" type="noConversion"/>
  </si>
  <si>
    <t>C0017</t>
    <phoneticPr fontId="20" type="noConversion"/>
  </si>
  <si>
    <t>CNY</t>
    <phoneticPr fontId="20" type="noConversion"/>
  </si>
  <si>
    <t>HKD</t>
    <phoneticPr fontId="20" type="noConversion"/>
  </si>
  <si>
    <t>兗礦能源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</si>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</sst>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</c:v>
                </c:pt>
                <c:pt idx="1">
                  <c:v>0.12732014981812276</c:v>
                </c:pt>
                <c:pt idx="2">
                  <c:v>5.8307109926881803E-2</c:v>
                </c:pt>
                <c:pt idx="3">
                  <c:v>0</c:v>
                </c:pt>
                <c:pt idx="4">
                  <c:v>3.008431596699165E-2</c:v>
                </c:pt>
                <c:pt idx="5">
                  <c:v>0</c:v>
                </c:pt>
                <c:pt idx="6">
                  <c:v>9.4288424288003866E-2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99" sqref="E9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10039860402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0.17372928879903213</v>
      </c>
      <c r="D45" s="152">
        <f>IF(D44="","",D44*Exchange_Rate/Dashboard!$G$3)</f>
        <v>0.50136640391666987</v>
      </c>
      <c r="E45" s="152">
        <f>IF(E44="","",E44*Exchange_Rate/Dashboard!$G$3)</f>
        <v>0.23319367624031159</v>
      </c>
      <c r="F45" s="152">
        <f>IF(F44="","",F44*Exchange_Rate/Dashboard!$G$3)</f>
        <v>0.1165968381201558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105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247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257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207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24" sqref="F2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1171.HK</v>
      </c>
      <c r="D3" s="279"/>
      <c r="E3" s="87"/>
      <c r="F3" s="3" t="s">
        <v>1</v>
      </c>
      <c r="G3" s="132">
        <v>9.17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兗礦能源</v>
      </c>
      <c r="D4" s="281"/>
      <c r="E4" s="87"/>
      <c r="F4" s="3" t="s">
        <v>2</v>
      </c>
      <c r="G4" s="284">
        <f>Inputs!C10</f>
        <v>10039860402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45638</v>
      </c>
      <c r="D5" s="283"/>
      <c r="E5" s="34"/>
      <c r="F5" s="35" t="s">
        <v>99</v>
      </c>
      <c r="G5" s="276">
        <f>G3*G4/1000000</f>
        <v>92065.51988634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0.12732014981812276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5.8307109926881803E-2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3.008431596699165E-2</v>
      </c>
      <c r="F24" s="140" t="s">
        <v>260</v>
      </c>
      <c r="G24" s="268">
        <f>G3/(Fin_Analysis!H86*G7)</f>
        <v>12.851501905931936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0.74922224366340984</v>
      </c>
    </row>
    <row r="26" spans="1:8" ht="15.75" customHeight="1" x14ac:dyDescent="0.4">
      <c r="B26" s="138" t="s">
        <v>173</v>
      </c>
      <c r="C26" s="171">
        <f>Fin_Analysis!I83</f>
        <v>9.4288424288003866E-2</v>
      </c>
      <c r="F26" s="141" t="s">
        <v>193</v>
      </c>
      <c r="G26" s="178">
        <f>Fin_Analysis!H88*Exchange_Rate/G3</f>
        <v>5.8298419060077898E-2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4.0082811742516498</v>
      </c>
      <c r="D29" s="129">
        <f>G29*(1+G20)</f>
        <v>11.912238139531354</v>
      </c>
      <c r="E29" s="87"/>
      <c r="F29" s="131">
        <f>IF(Fin_Analysis!C108="Profit",Fin_Analysis!F100,IF(Fin_Analysis!C108="Dividend",Fin_Analysis!F103,Fin_Analysis!F106))</f>
        <v>5.8984035694066996</v>
      </c>
      <c r="G29" s="275">
        <f>IF(Fin_Analysis!C108="Profit",Fin_Analysis!I100,IF(Fin_Analysis!C108="Dividend",Fin_Analysis!I103,Fin_Analysis!I106))</f>
        <v>10.358467947418569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H43" sqref="H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0.62920363337402252</v>
      </c>
      <c r="D42" s="156">
        <f t="shared" si="34"/>
        <v>0.52273001482100712</v>
      </c>
      <c r="E42" s="156">
        <f t="shared" si="34"/>
        <v>0.63232591156962858</v>
      </c>
      <c r="F42" s="156">
        <f t="shared" si="34"/>
        <v>0.79612628325556378</v>
      </c>
      <c r="G42" s="156">
        <f t="shared" si="34"/>
        <v>0.68985183374755277</v>
      </c>
      <c r="H42" s="156">
        <f t="shared" si="34"/>
        <v>0.63962073152911059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0.12732014981812276</v>
      </c>
      <c r="D43" s="153">
        <f t="shared" si="35"/>
        <v>0.12754226422310702</v>
      </c>
      <c r="E43" s="153">
        <f t="shared" si="35"/>
        <v>0.13916468223036041</v>
      </c>
      <c r="F43" s="153">
        <f t="shared" si="35"/>
        <v>0.12200450732621347</v>
      </c>
      <c r="G43" s="153">
        <f t="shared" si="35"/>
        <v>0.12945133964570332</v>
      </c>
      <c r="H43" s="153">
        <f t="shared" si="35"/>
        <v>0.15804356848294035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3.008431596699165E-2</v>
      </c>
      <c r="D45" s="153">
        <f t="shared" si="37"/>
        <v>3.870117564508832E-2</v>
      </c>
      <c r="E45" s="153">
        <f t="shared" si="37"/>
        <v>4.8973919936231652E-2</v>
      </c>
      <c r="F45" s="153">
        <f t="shared" si="37"/>
        <v>4.1477195296154595E-2</v>
      </c>
      <c r="G45" s="153">
        <f t="shared" si="37"/>
        <v>4.0575893297220174E-2</v>
      </c>
      <c r="H45" s="153">
        <f t="shared" si="37"/>
        <v>5.3558919297706245E-2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5.8307109926881803E-2</v>
      </c>
      <c r="D46" s="153">
        <f t="shared" ref="D46:M46" si="38">IF(D6="","",MAX(D12,0)/D6)</f>
        <v>7.4886420629173917E-2</v>
      </c>
      <c r="E46" s="153">
        <f t="shared" si="38"/>
        <v>2.3050883881091888E-2</v>
      </c>
      <c r="F46" s="153">
        <f t="shared" si="38"/>
        <v>0</v>
      </c>
      <c r="G46" s="153">
        <f t="shared" si="38"/>
        <v>4.7944287316563944E-2</v>
      </c>
      <c r="H46" s="153">
        <f t="shared" si="38"/>
        <v>5.4168592126159584E-2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0.15508479091398122</v>
      </c>
      <c r="D48" s="153">
        <f t="shared" si="40"/>
        <v>0.23614012468162365</v>
      </c>
      <c r="E48" s="153">
        <f t="shared" si="40"/>
        <v>0.15648460238268738</v>
      </c>
      <c r="F48" s="153">
        <f t="shared" si="40"/>
        <v>4.0392014122068165E-2</v>
      </c>
      <c r="G48" s="153">
        <f t="shared" si="40"/>
        <v>9.2176645992959799E-2</v>
      </c>
      <c r="H48" s="153">
        <f t="shared" si="40"/>
        <v>9.4608188564083248E-2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0.19398624320084429</v>
      </c>
      <c r="D56" s="153">
        <f t="shared" si="46"/>
        <v>0.16389072249905537</v>
      </c>
      <c r="E56" s="153">
        <f t="shared" si="46"/>
        <v>0.31296318737139767</v>
      </c>
      <c r="F56" s="153">
        <f t="shared" si="46"/>
        <v>1.0268662308051022</v>
      </c>
      <c r="G56" s="153">
        <f t="shared" si="46"/>
        <v>0.44019711131949024</v>
      </c>
      <c r="H56" s="153">
        <f t="shared" si="46"/>
        <v>0.56611293494355286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95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172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232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160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0.1599804665068088</v>
      </c>
      <c r="D87" s="209"/>
      <c r="E87" s="262">
        <f>E86*Exchange_Rate/Dashboard!G3</f>
        <v>4.6422504963758576E-2</v>
      </c>
      <c r="F87" s="209"/>
      <c r="H87" s="262">
        <f>H86*Exchange_Rate/Dashboard!G3</f>
        <v>7.7811917028812377E-2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221</v>
      </c>
      <c r="C89" s="261">
        <f>C88*Exchange_Rate/Dashboard!G3</f>
        <v>0.17372928879903213</v>
      </c>
      <c r="D89" s="209"/>
      <c r="E89" s="261">
        <f>E88*Exchange_Rate/Dashboard!G3</f>
        <v>3.4979051436046737E-2</v>
      </c>
      <c r="F89" s="209"/>
      <c r="H89" s="261">
        <f>H88*Exchange_Rate/Dashboard!G3</f>
        <v>5.8298419060077898E-2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8.0620851493519936</v>
      </c>
      <c r="H93" s="87" t="s">
        <v>209</v>
      </c>
      <c r="I93" s="144">
        <f>FV(H87,D93,0,-(H86/(C93-D94)))*Exchange_Rate</f>
        <v>15.665507678851641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5.7497541942672283</v>
      </c>
      <c r="H94" s="87" t="s">
        <v>210</v>
      </c>
      <c r="I94" s="144">
        <f>FV(H89,D93,0,-(H88/(C93-D94)))*Exchange_Rate</f>
        <v>10.712256609231263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78195713.421552375</v>
      </c>
      <c r="D97" s="213"/>
      <c r="E97" s="123">
        <f>PV(C94,D93,0,-F93)</f>
        <v>4.0082811742516498</v>
      </c>
      <c r="F97" s="213"/>
      <c r="H97" s="123">
        <f>PV(C94,D93,0,-I93)</f>
        <v>7.7885259645617504</v>
      </c>
      <c r="I97" s="123">
        <f>PV(C93,D93,0,-I93)</f>
        <v>10.358467947418569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78195713.421552375</v>
      </c>
      <c r="D100" s="109">
        <f>MIN(F100*(1-C94),E100)</f>
        <v>4.0082811742516498</v>
      </c>
      <c r="E100" s="109">
        <f>MAX(E97+H98+E99,0)</f>
        <v>4.0082811742516498</v>
      </c>
      <c r="F100" s="109">
        <f>(E100+H100)/2</f>
        <v>5.8984035694066996</v>
      </c>
      <c r="H100" s="109">
        <f>MAX(C100*Data!$C$4/Common_Shares,0)</f>
        <v>7.7885259645617495</v>
      </c>
      <c r="I100" s="109">
        <f>MAX(I97+H98+H99,0)</f>
        <v>10.358467947418569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53471139.594435558</v>
      </c>
      <c r="D103" s="109">
        <f>MIN(F103*(1-C94),E103)</f>
        <v>2.8586440190734299</v>
      </c>
      <c r="E103" s="123">
        <f>PV(C94,D93,0,-F94)</f>
        <v>2.8586440190734299</v>
      </c>
      <c r="F103" s="109">
        <f>(E103+H103)/2</f>
        <v>4.0922643938642791</v>
      </c>
      <c r="H103" s="123">
        <f>PV(C94,D93,0,-I94)</f>
        <v>5.3258847686551283</v>
      </c>
      <c r="I103" s="109">
        <f>PV(C93,D93,0,-I94)</f>
        <v>7.0832410290184011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34471485.165980332</v>
      </c>
      <c r="D106" s="109">
        <f>(D100+D103)/2</f>
        <v>3.4334625966625398</v>
      </c>
      <c r="E106" s="123">
        <f>(E100+E103)/2</f>
        <v>3.4334625966625398</v>
      </c>
      <c r="F106" s="109">
        <f>(F100+F103)/2</f>
        <v>4.9953339816354898</v>
      </c>
      <c r="H106" s="123">
        <f>(H100+H103)/2</f>
        <v>6.5572053666084393</v>
      </c>
      <c r="I106" s="123">
        <f>(I100+I103)/2</f>
        <v>8.7208544882184853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