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B60E7A9-09D7-4D7C-BCFB-94472FFA30D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H82" i="3" s="1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<sst xmlns="http://schemas.openxmlformats.org/spreadsheetml/2006/main" count="391" uniqueCount="272">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</sst>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356406257089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9.8752158912055535E-2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638618</v>
      </c>
      <c r="D72" s="248">
        <v>0</v>
      </c>
      <c r="E72" s="249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207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1398.HK</v>
      </c>
      <c r="D3" s="278"/>
      <c r="E3" s="87"/>
      <c r="F3" s="3" t="s">
        <v>1</v>
      </c>
      <c r="G3" s="132">
        <v>4.87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工商银行</v>
      </c>
      <c r="D4" s="280"/>
      <c r="E4" s="87"/>
      <c r="F4" s="3" t="s">
        <v>2</v>
      </c>
      <c r="G4" s="283">
        <f>Inputs!C10</f>
        <v>356406257089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1735698.47202343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1.2012210534502537E-2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0.4200729804089906</v>
      </c>
    </row>
    <row r="24" spans="1:8" ht="15.75" customHeight="1" x14ac:dyDescent="0.4">
      <c r="B24" s="137" t="s">
        <v>170</v>
      </c>
      <c r="C24" s="171">
        <f>Fin_Analysis!I81</f>
        <v>0.48610500800425166</v>
      </c>
      <c r="F24" s="140" t="s">
        <v>257</v>
      </c>
      <c r="G24" s="268">
        <f>G3/(Fin_Analysis!H86*G7)</f>
        <v>4.0520390405723088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0.27257720239339839</v>
      </c>
    </row>
    <row r="26" spans="1:8" ht="15.75" customHeight="1" x14ac:dyDescent="0.4">
      <c r="B26" s="138" t="s">
        <v>173</v>
      </c>
      <c r="C26" s="171">
        <f>Fin_Analysis!I83</f>
        <v>0.34620797227785238</v>
      </c>
      <c r="F26" s="141" t="s">
        <v>193</v>
      </c>
      <c r="G26" s="178">
        <f>Fin_Analysis!H88*Exchange_Rate/G3</f>
        <v>6.7269145154855089E-2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2.8937331660156094</v>
      </c>
      <c r="D29" s="129">
        <f>G29*(1+G20)</f>
        <v>5.2068809852554141</v>
      </c>
      <c r="E29" s="87"/>
      <c r="F29" s="131">
        <f>IF(Fin_Analysis!C108="Profit",Fin_Analysis!F100,IF(Fin_Analysis!C108="Dividend",Fin_Analysis!F103,Fin_Analysis!F106))</f>
        <v>3.4043919600183643</v>
      </c>
      <c r="G29" s="274">
        <f>IF(Fin_Analysis!C108="Profit",Fin_Analysis!I100,IF(Fin_Analysis!C108="Dividend",Fin_Analysis!I103,Fin_Analysis!I106))</f>
        <v>4.5277225958742733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4.2196363500311286E-2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1.2012210534502537E-2</v>
      </c>
      <c r="D42" s="156">
        <f t="shared" si="34"/>
        <v>1.2898518308810534E-2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0.15470436118294414</v>
      </c>
      <c r="D43" s="153">
        <f t="shared" si="35"/>
        <v>0.18718688266125691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0.48610500800425166</v>
      </c>
      <c r="D45" s="153">
        <f t="shared" si="37"/>
        <v>0.45882609640924893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9.7044800044936142E-4</v>
      </c>
      <c r="D46" s="153">
        <f t="shared" ref="D46:M46" si="38">IF(D6="","",MAX(D12,0)/D6)</f>
        <v>1.0198064557502538E-3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0.34620797227785238</v>
      </c>
      <c r="D48" s="153">
        <f t="shared" si="40"/>
        <v>0.34006869616493335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0.91797994232852775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1.2634035849314423E-2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1.4040838077932061</v>
      </c>
      <c r="D56" s="153">
        <f t="shared" si="46"/>
        <v>1.3492159130892725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1.0639184029144524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-16645030.451074183</v>
      </c>
      <c r="E6" s="56">
        <f>1-D6/D3</f>
        <v>5.3071616364115792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5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42280604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95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232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160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0.2467893300106902</v>
      </c>
      <c r="D87" s="209"/>
      <c r="E87" s="262">
        <f>E86*Exchange_Rate/Dashboard!G3</f>
        <v>0.2467893300106902</v>
      </c>
      <c r="F87" s="209"/>
      <c r="H87" s="262">
        <f>H86*Exchange_Rate/Dashboard!G3</f>
        <v>0.2467893300106902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221</v>
      </c>
      <c r="C89" s="261">
        <f>C88*Exchange_Rate/Dashboard!G3</f>
        <v>9.8752158912055535E-2</v>
      </c>
      <c r="D89" s="209"/>
      <c r="E89" s="261">
        <f>E88*Exchange_Rate/Dashboard!G3</f>
        <v>6.7269145154855089E-2</v>
      </c>
      <c r="F89" s="209"/>
      <c r="H89" s="261">
        <f>H88*Exchange_Rate/Dashboard!G3</f>
        <v>6.7269145154855089E-2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54.655622147349433</v>
      </c>
      <c r="H93" s="87" t="s">
        <v>209</v>
      </c>
      <c r="I93" s="144">
        <f>FV(H87,D93,0,-(H86/(C93-D94)))*Exchange_Rate</f>
        <v>54.655622147349433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6.8474482378501476</v>
      </c>
      <c r="H94" s="87" t="s">
        <v>210</v>
      </c>
      <c r="I94" s="144">
        <f>FV(H89,D93,0,-(H88/(C93-D94)))*Exchange_Rate</f>
        <v>6.8474482378501476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9684806.7759757228</v>
      </c>
      <c r="D97" s="213"/>
      <c r="E97" s="123">
        <f>PV(C94,D93,0,-F93)</f>
        <v>27.1735037849161</v>
      </c>
      <c r="F97" s="213"/>
      <c r="H97" s="123">
        <f>PV(C94,D93,0,-I93)</f>
        <v>27.1735037849161</v>
      </c>
      <c r="I97" s="123">
        <f>PV(C93,D93,0,-I93)</f>
        <v>36.139812495437816</v>
      </c>
      <c r="K97" s="24"/>
    </row>
    <row r="98" spans="2:11" ht="15" customHeight="1" x14ac:dyDescent="0.4">
      <c r="B98" s="28" t="s">
        <v>144</v>
      </c>
      <c r="C98" s="91">
        <f>-E53*Exchange_Rate</f>
        <v>-673420.52262306213</v>
      </c>
      <c r="D98" s="213"/>
      <c r="E98" s="213"/>
      <c r="F98" s="213"/>
      <c r="H98" s="123">
        <f>C98*Data!$C$4/Common_Shares</f>
        <v>-1.8894744669280565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-34383631.187479101</v>
      </c>
      <c r="D99" s="214"/>
      <c r="E99" s="145">
        <f>IF(H99&gt;0,H99*(1-C94),H99*(1+C94))</f>
        <v>-110.94411245346609</v>
      </c>
      <c r="F99" s="214"/>
      <c r="H99" s="145">
        <f>C99*Data!$C$4/Common_Shares</f>
        <v>-96.473141263883562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-25372244.93412644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1213346.5961340298</v>
      </c>
      <c r="D103" s="109">
        <f>MIN(F103*(1-C94),E103)</f>
        <v>2.8937331660156094</v>
      </c>
      <c r="E103" s="123">
        <f>PV(C94,D93,0,-F94)</f>
        <v>3.4043919600183643</v>
      </c>
      <c r="F103" s="109">
        <f>(E103+H103)/2</f>
        <v>3.4043919600183643</v>
      </c>
      <c r="H103" s="123">
        <f>PV(C94,D93,0,-I94)</f>
        <v>3.4043919600183643</v>
      </c>
      <c r="I103" s="109">
        <f>PV(C93,D93,0,-I94)</f>
        <v>4.5277225958742733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606673.2980670149</v>
      </c>
      <c r="D106" s="109">
        <f>(D100+D103)/2</f>
        <v>1.4468665830078047</v>
      </c>
      <c r="E106" s="123">
        <f>(E100+E103)/2</f>
        <v>1.7021959800091822</v>
      </c>
      <c r="F106" s="109">
        <f>(F100+F103)/2</f>
        <v>1.7021959800091822</v>
      </c>
      <c r="H106" s="123">
        <f>(H100+H103)/2</f>
        <v>1.7021959800091822</v>
      </c>
      <c r="I106" s="123">
        <f>(I100+I103)/2</f>
        <v>2.2638612979371366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