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48965A2-1C5F-42BA-BB11-050D65CDF25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H82" i="3" s="1"/>
  <c r="E82" i="3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<sst xmlns="http://schemas.openxmlformats.org/spreadsheetml/2006/main" count="391" uniqueCount="272">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</sst>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28698864088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234261514</v>
      </c>
      <c r="D25" s="149">
        <v>222938637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183809908</v>
      </c>
      <c r="D26" s="150">
        <v>177260463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37506984</v>
      </c>
      <c r="D27" s="150">
        <v>599182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0</v>
      </c>
      <c r="D29" s="150">
        <v>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3160304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131280367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66848740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4.6285411496183058E-2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37623092</v>
      </c>
      <c r="D72" s="248">
        <v>0</v>
      </c>
      <c r="E72" s="249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234261514</v>
      </c>
      <c r="D91" s="209"/>
      <c r="E91" s="251">
        <f>C91</f>
        <v>234261514</v>
      </c>
      <c r="F91" s="251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59">
        <f>C92/C91</f>
        <v>0.78463553343209413</v>
      </c>
      <c r="E92" s="252">
        <f>E91*D92</f>
        <v>183809908</v>
      </c>
      <c r="F92" s="252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59">
        <f>C93/C91</f>
        <v>0.16010732347610457</v>
      </c>
      <c r="E93" s="252">
        <f>E91*D93</f>
        <v>37506984</v>
      </c>
      <c r="F93" s="252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8.8200573996119572E-5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1.2515926965280349E-5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0.2</v>
      </c>
      <c r="D98" s="266"/>
      <c r="E98" s="254">
        <f>F98</f>
        <v>0.2</v>
      </c>
      <c r="F98" s="254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1766.HK</v>
      </c>
      <c r="D3" s="278"/>
      <c r="E3" s="87"/>
      <c r="F3" s="3" t="s">
        <v>1</v>
      </c>
      <c r="G3" s="132">
        <v>4.62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中国中车</v>
      </c>
      <c r="D4" s="280"/>
      <c r="E4" s="87"/>
      <c r="F4" s="3" t="s">
        <v>2</v>
      </c>
      <c r="G4" s="283">
        <f>Inputs!C10</f>
        <v>28698864088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132588.75208656001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C0004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0.78463553343209413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0.62033090365449117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258</v>
      </c>
      <c r="G24" s="268">
        <f>G3/(Fin_Analysis!H86*G7)</f>
        <v>12.796530704124249</v>
      </c>
    </row>
    <row r="25" spans="1:8" ht="15.75" customHeight="1" x14ac:dyDescent="0.4">
      <c r="B25" s="137" t="s">
        <v>243</v>
      </c>
      <c r="C25" s="171">
        <f>Fin_Analysis!I82</f>
        <v>8.8200573996119572E-5</v>
      </c>
      <c r="F25" s="140" t="s">
        <v>174</v>
      </c>
      <c r="G25" s="171">
        <f>Fin_Analysis!I88</f>
        <v>0.59229268936393198</v>
      </c>
    </row>
    <row r="26" spans="1:8" ht="15.75" customHeight="1" x14ac:dyDescent="0.4">
      <c r="B26" s="138" t="s">
        <v>173</v>
      </c>
      <c r="C26" s="171">
        <f>Fin_Analysis!I83</f>
        <v>5.5156426590839844E-2</v>
      </c>
      <c r="F26" s="141" t="s">
        <v>193</v>
      </c>
      <c r="G26" s="178">
        <f>Fin_Analysis!H88*Exchange_Rate/G3</f>
        <v>4.6285411496183058E-2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1.7103334741615126</v>
      </c>
      <c r="D29" s="129">
        <f>G29*(1+G20)</f>
        <v>3.0775134866078298</v>
      </c>
      <c r="E29" s="87"/>
      <c r="F29" s="131">
        <f>IF(Fin_Analysis!C108="Profit",Fin_Analysis!F100,IF(Fin_Analysis!C108="Dividend",Fin_Analysis!F103,Fin_Analysis!F106))</f>
        <v>2.012157028425309</v>
      </c>
      <c r="G29" s="274">
        <f>IF(Fin_Analysis!C108="Profit",Fin_Analysis!I100,IF(Fin_Analysis!C108="Dividend",Fin_Analysis!I103,Fin_Analysis!I106))</f>
        <v>2.6760986840068086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234261514</v>
      </c>
      <c r="D6" s="200">
        <f>IF(Inputs!D25="","",Inputs!D25)</f>
        <v>222938637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183809908</v>
      </c>
      <c r="D8" s="199">
        <f>IF(Inputs!D26="","",Inputs!D26)</f>
        <v>177260463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50451606</v>
      </c>
      <c r="D9" s="151">
        <f t="shared" si="2"/>
        <v>45678174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37506984</v>
      </c>
      <c r="D10" s="199">
        <f>IF(Inputs!D27="","",Inputs!D27)</f>
        <v>599182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5.5244627164835962E-2</v>
      </c>
      <c r="D13" s="229">
        <f t="shared" si="3"/>
        <v>0.20219972906715133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12941690</v>
      </c>
      <c r="D14" s="230">
        <f t="shared" ref="D14:M14" si="4">IF(D6="","",D9-D10-MAX(D11,0)-MAX(D12,0))</f>
        <v>45078132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-0.71290536173947938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0</v>
      </c>
      <c r="D17" s="199">
        <f>IF(Inputs!D29="","",Inputs!D29)</f>
        <v>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1.5356342314085786E-4</v>
      </c>
      <c r="D18" s="152">
        <f t="shared" si="6"/>
        <v>1.4401272220929565E-4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6.5362849144738304E-5</v>
      </c>
      <c r="D20" s="152">
        <f t="shared" si="7"/>
        <v>5.2032254956326836E-5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12921028</v>
      </c>
      <c r="D22" s="161">
        <f t="shared" ref="D22:M22" si="8">IF(D6="","",D14-MAX(D16,0)-MAX(D17,0)-ABS(MAX(D21,0)-MAX(D19,0)))</f>
        <v>45057626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4.1367319943129879E-2</v>
      </c>
      <c r="D23" s="153">
        <f t="shared" si="9"/>
        <v>0.15158081144992377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-0.71323327154431082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199">
        <f>IF(Inputs!D34="","",Inputs!D34)</f>
        <v>3160304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199">
        <f>IF(Inputs!D35="","",Inputs!D35)</f>
        <v>131280367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199">
        <f>IF(Inputs!D36="","",Inputs!D36)</f>
        <v>66848740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199">
        <f>IF(Inputs!D37="","",Inputs!D37)</f>
        <v>734909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199">
        <f>IF(Inputs!D38="","",Inputs!D38)</f>
        <v>18682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199">
        <f>IF(Inputs!D39="","",Inputs!D39)</f>
        <v>6202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199">
        <f>IF(Inputs!D40="","",Inputs!D40)</f>
        <v>10412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199">
        <f>IF(Inputs!D41="","",Inputs!D41)</f>
        <v>2824568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199">
        <f>IF(Inputs!D42="","",Inputs!D42)</f>
        <v>7297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3.2528320965128699E-2</v>
      </c>
      <c r="D40" s="155">
        <f>IF(D6="","",D14/MAX(D39,0))</f>
        <v>63.533457924957503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0.78463553343209413</v>
      </c>
      <c r="D42" s="156">
        <f t="shared" si="34"/>
        <v>0.79510875900797762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0.16010732347610457</v>
      </c>
      <c r="D43" s="153">
        <f t="shared" si="35"/>
        <v>2.6876543611415371E-3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1.2515926965280349E-5</v>
      </c>
      <c r="D46" s="153">
        <f t="shared" ref="D46:M46" si="38">IF(D6="","",MAX(D12,0)/D6)</f>
        <v>3.8575637295207831E-6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8.8200573996119572E-5</v>
      </c>
      <c r="D47" s="153">
        <f t="shared" ref="D47:M47" si="39">IF(D6="","",ABS(MAX(D21,0)-MAX(D19,0))/D6)</f>
        <v>9.1980467252968803E-5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5.5156426590839844E-2</v>
      </c>
      <c r="D48" s="153">
        <f t="shared" si="40"/>
        <v>0.20210774859989836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0.51922053231500931</v>
      </c>
      <c r="D50" s="156">
        <f t="shared" si="41"/>
        <v>0.58886323504346172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0.36796930715644566</v>
      </c>
      <c r="D51" s="153">
        <f t="shared" si="42"/>
        <v>0.29985264510251758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-1.4950263965598143E-2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0.58309352323463393</v>
      </c>
      <c r="D54" s="156">
        <f t="shared" ref="D54:M54" si="44">IF(D36="","",(D27-D36)/D27)</f>
        <v>0.21060858391144721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0.61519693591548208</v>
      </c>
      <c r="D55" s="157">
        <f t="shared" si="45"/>
        <v>2712.0275671120739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1.250490989804119</v>
      </c>
      <c r="D57" s="158">
        <f t="shared" si="47"/>
        <v>4.3002657471877468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-140727459.24384332</v>
      </c>
      <c r="E6" s="56">
        <f>1-D6/D3</f>
        <v>1.7039660096275822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8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8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8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8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8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8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6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8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8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8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8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8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8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8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8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8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7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21003076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09"/>
      <c r="E74" s="238">
        <f>Inputs!E91</f>
        <v>234261514</v>
      </c>
      <c r="F74" s="209"/>
      <c r="H74" s="238">
        <f>Inputs!F91</f>
        <v>234261514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59">
        <f>C75/$C$74</f>
        <v>0.78463553343209413</v>
      </c>
      <c r="E75" s="238">
        <f>Inputs!E92</f>
        <v>183809908</v>
      </c>
      <c r="F75" s="160">
        <f>E75/E74</f>
        <v>0.78463553343209413</v>
      </c>
      <c r="H75" s="238">
        <f>Inputs!F92</f>
        <v>183809908</v>
      </c>
      <c r="I75" s="160">
        <f>H75/$H$74</f>
        <v>0.78463553343209413</v>
      </c>
      <c r="K75" s="24"/>
    </row>
    <row r="76" spans="1:11" ht="15" customHeight="1" x14ac:dyDescent="0.4">
      <c r="B76" s="35" t="s">
        <v>95</v>
      </c>
      <c r="C76" s="161">
        <f>C74-C75</f>
        <v>50451606</v>
      </c>
      <c r="D76" s="210"/>
      <c r="E76" s="162">
        <f>E74-E75</f>
        <v>50451606</v>
      </c>
      <c r="F76" s="210"/>
      <c r="H76" s="162">
        <f>H74-H75</f>
        <v>50451606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59">
        <f>C77/$C$74</f>
        <v>0.16010732347610457</v>
      </c>
      <c r="E77" s="238">
        <f>Inputs!E93</f>
        <v>37506984</v>
      </c>
      <c r="F77" s="160">
        <f>E77/E74</f>
        <v>0.16010732347610457</v>
      </c>
      <c r="H77" s="238">
        <f>Inputs!F93</f>
        <v>37506984</v>
      </c>
      <c r="I77" s="160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1.2515926965280349E-5</v>
      </c>
      <c r="E78" s="180">
        <f>E74*F78</f>
        <v>2932</v>
      </c>
      <c r="F78" s="160">
        <f>I78</f>
        <v>1.2515926965280349E-5</v>
      </c>
      <c r="H78" s="238">
        <f>Inputs!F97</f>
        <v>2932</v>
      </c>
      <c r="I78" s="160">
        <f>H78/$H$74</f>
        <v>1.2515926965280349E-5</v>
      </c>
      <c r="K78" s="24"/>
    </row>
    <row r="79" spans="1:11" ht="15" customHeight="1" x14ac:dyDescent="0.4">
      <c r="B79" s="256" t="s">
        <v>232</v>
      </c>
      <c r="C79" s="257">
        <f>C76-C77-C78</f>
        <v>12941690</v>
      </c>
      <c r="D79" s="258">
        <f>C79/C74</f>
        <v>5.5244627164835962E-2</v>
      </c>
      <c r="E79" s="259">
        <f>E76-E77-E78</f>
        <v>12941690</v>
      </c>
      <c r="F79" s="258">
        <f>E79/E74</f>
        <v>5.5244627164835962E-2</v>
      </c>
      <c r="G79" s="260"/>
      <c r="H79" s="259">
        <f>H76-H77-H78</f>
        <v>12941690</v>
      </c>
      <c r="I79" s="258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8.8200573996119572E-5</v>
      </c>
      <c r="E82" s="238">
        <f>Inputs!E95</f>
        <v>20662</v>
      </c>
      <c r="F82" s="160">
        <f>E82/E74</f>
        <v>8.8200573996119572E-5</v>
      </c>
      <c r="H82" s="238">
        <f>Inputs!F95</f>
        <v>20662</v>
      </c>
      <c r="I82" s="160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3">
        <f>C79-C81-C82-C80</f>
        <v>12921028</v>
      </c>
      <c r="D83" s="164">
        <f>C83/$C$74</f>
        <v>5.5156426590839844E-2</v>
      </c>
      <c r="E83" s="165">
        <f>E79-E81-E82-E80</f>
        <v>12921028</v>
      </c>
      <c r="F83" s="164">
        <f>E83/E74</f>
        <v>5.5156426590839844E-2</v>
      </c>
      <c r="H83" s="165">
        <f>H79-H81-H82-H80</f>
        <v>12921028</v>
      </c>
      <c r="I83" s="164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9690771</v>
      </c>
      <c r="D85" s="258">
        <f>C85/$C$74</f>
        <v>4.1367319943129879E-2</v>
      </c>
      <c r="E85" s="264">
        <f>E83*(1-F84)</f>
        <v>9690771</v>
      </c>
      <c r="F85" s="258">
        <f>E85/E74</f>
        <v>4.1367319943129879E-2</v>
      </c>
      <c r="G85" s="260"/>
      <c r="H85" s="264">
        <f>H83*(1-I84)</f>
        <v>9690771</v>
      </c>
      <c r="I85" s="258">
        <f>H85/$H$74</f>
        <v>4.1367319943129879E-2</v>
      </c>
      <c r="K85" s="24"/>
    </row>
    <row r="86" spans="1:11" ht="15" customHeight="1" x14ac:dyDescent="0.4">
      <c r="B86" s="87" t="s">
        <v>160</v>
      </c>
      <c r="C86" s="167">
        <f>C85*Data!C4/Common_Shares</f>
        <v>0.33767089074623169</v>
      </c>
      <c r="D86" s="209"/>
      <c r="E86" s="168">
        <f>E85*Data!C4/Common_Shares</f>
        <v>0.33767089074623169</v>
      </c>
      <c r="F86" s="209"/>
      <c r="H86" s="168">
        <f>H85*Data!C4/Common_Shares</f>
        <v>0.33767089074623169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7.8146180642360022E-2</v>
      </c>
      <c r="D87" s="209"/>
      <c r="E87" s="262">
        <f>E86*Exchange_Rate/Dashboard!G3</f>
        <v>7.8146180642360022E-2</v>
      </c>
      <c r="F87" s="209"/>
      <c r="H87" s="262">
        <f>H86*Exchange_Rate/Dashboard!G3</f>
        <v>7.8146180642360022E-2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</v>
      </c>
      <c r="D88" s="166">
        <f>C88/C86</f>
        <v>0.59229268936393198</v>
      </c>
      <c r="E88" s="170">
        <f>Inputs!E98</f>
        <v>0.2</v>
      </c>
      <c r="F88" s="166">
        <f>E88/E86</f>
        <v>0.59229268936393198</v>
      </c>
      <c r="H88" s="170">
        <f>Inputs!F98</f>
        <v>0.2</v>
      </c>
      <c r="I88" s="166">
        <f>H88/H86</f>
        <v>0.59229268936393198</v>
      </c>
      <c r="K88" s="24"/>
    </row>
    <row r="89" spans="1:11" ht="15" customHeight="1" x14ac:dyDescent="0.4">
      <c r="B89" s="87" t="s">
        <v>221</v>
      </c>
      <c r="C89" s="261">
        <f>C88*Exchange_Rate/Dashboard!G3</f>
        <v>4.6285411496183058E-2</v>
      </c>
      <c r="D89" s="209"/>
      <c r="E89" s="261">
        <f>E88*Exchange_Rate/Dashboard!G3</f>
        <v>4.6285411496183058E-2</v>
      </c>
      <c r="F89" s="209"/>
      <c r="H89" s="261">
        <f>H88*Exchange_Rate/Dashboard!G3</f>
        <v>4.6285411496183058E-2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7.9387494118643804</v>
      </c>
      <c r="H93" s="87" t="s">
        <v>209</v>
      </c>
      <c r="I93" s="144">
        <f>FV(H87,D93,0,-(H86/(C93-D94)))*Exchange_Rate</f>
        <v>7.9387494118643804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4.0471665015018861</v>
      </c>
      <c r="H94" s="87" t="s">
        <v>210</v>
      </c>
      <c r="I94" s="144">
        <f>FV(H89,D93,0,-(H88/(C93-D94)))*Exchange_Rate</f>
        <v>4.0471665015018861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113273312.07788566</v>
      </c>
      <c r="D97" s="213"/>
      <c r="E97" s="123">
        <f>PV(C94,D93,0,-F93)</f>
        <v>3.9469615149419517</v>
      </c>
      <c r="F97" s="213"/>
      <c r="H97" s="123">
        <f>PV(C94,D93,0,-I93)</f>
        <v>3.9469615149419517</v>
      </c>
      <c r="I97" s="123">
        <f>PV(C93,D93,0,-I93)</f>
        <v>5.2493211845537395</v>
      </c>
      <c r="K97" s="24"/>
    </row>
    <row r="98" spans="2:11" ht="15" customHeight="1" x14ac:dyDescent="0.4">
      <c r="B98" s="28" t="s">
        <v>144</v>
      </c>
      <c r="C98" s="91">
        <f>-E53*Exchange_Rate</f>
        <v>-42250997.419166207</v>
      </c>
      <c r="D98" s="213"/>
      <c r="E98" s="213"/>
      <c r="F98" s="213"/>
      <c r="H98" s="123">
        <f>C98*Data!$C$4/Common_Shares</f>
        <v>-1.4722184574835777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71022314.65871945</v>
      </c>
      <c r="D100" s="109">
        <f>MIN(F100*(1-C94),E100)</f>
        <v>2.1035315988396182</v>
      </c>
      <c r="E100" s="109">
        <f>MAX(E97+H98+E99,0)</f>
        <v>2.4747430574583742</v>
      </c>
      <c r="F100" s="109">
        <f>(E100+H100)/2</f>
        <v>2.4747430574583742</v>
      </c>
      <c r="H100" s="109">
        <f>MAX(C100*Data!$C$4/Common_Shares,0)</f>
        <v>2.4747430574583742</v>
      </c>
      <c r="I100" s="109">
        <f>MAX(I97+H98+H99,0)</f>
        <v>3.7771027270701616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57746621.082491897</v>
      </c>
      <c r="D103" s="109">
        <f>MIN(F103*(1-C94),E103)</f>
        <v>1.7103334741615126</v>
      </c>
      <c r="E103" s="123">
        <f>PV(C94,D93,0,-F94)</f>
        <v>2.012157028425309</v>
      </c>
      <c r="F103" s="109">
        <f>(E103+H103)/2</f>
        <v>2.012157028425309</v>
      </c>
      <c r="H103" s="123">
        <f>PV(C94,D93,0,-I94)</f>
        <v>2.012157028425309</v>
      </c>
      <c r="I103" s="109">
        <f>PV(C93,D93,0,-I94)</f>
        <v>2.6760986840068086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64384467.87060567</v>
      </c>
      <c r="D106" s="109">
        <f>(D100+D103)/2</f>
        <v>1.9069325365005654</v>
      </c>
      <c r="E106" s="123">
        <f>(E100+E103)/2</f>
        <v>2.2434500429418414</v>
      </c>
      <c r="F106" s="109">
        <f>(F100+F103)/2</f>
        <v>2.2434500429418414</v>
      </c>
      <c r="H106" s="123">
        <f>(H100+H103)/2</f>
        <v>2.2434500429418414</v>
      </c>
      <c r="I106" s="123">
        <f>(I100+I103)/2</f>
        <v>3.2266007055384849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