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E3AA09-215E-4625-8F3C-596267075BD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H75" i="3" s="1"/>
  <c r="E93" i="4"/>
  <c r="F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 s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<sst xmlns="http://schemas.openxmlformats.org/spreadsheetml/2006/main" count="391" uniqueCount="272">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</sst>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821163500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(0.61+0.42)/Exchange_Rate</f>
        <v>0.13247713112439977</v>
      </c>
      <c r="D44" s="250">
        <f>(0.45+0.42)/Exchange_Rate</f>
        <v>0.11189815929925027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6.9688768606224638E-2</v>
      </c>
      <c r="D45" s="152">
        <f>IF(D44="","",D44*Exchange_Rate/Dashboard!$G$3)</f>
        <v>5.8863328822733423E-2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207</v>
      </c>
      <c r="C98" s="237">
        <f>C44</f>
        <v>0.13247713112439977</v>
      </c>
      <c r="D98" s="266"/>
      <c r="E98" s="254">
        <f>F98</f>
        <v>0.13247713112439977</v>
      </c>
      <c r="F98" s="254">
        <f>C98</f>
        <v>0.13247713112439977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1836.HK</v>
      </c>
      <c r="D3" s="278"/>
      <c r="E3" s="87"/>
      <c r="F3" s="3" t="s">
        <v>1</v>
      </c>
      <c r="G3" s="132">
        <v>14.78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九興控股</v>
      </c>
      <c r="D4" s="280"/>
      <c r="E4" s="87"/>
      <c r="F4" s="3" t="s">
        <v>2</v>
      </c>
      <c r="G4" s="283">
        <f>Inputs!C10</f>
        <v>821163500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12136.79653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7.7749268213907881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0.75431095413462357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6.3176187869769956E-4</v>
      </c>
      <c r="F24" s="140" t="s">
        <v>260</v>
      </c>
      <c r="G24" s="268">
        <f>G3/(Fin_Analysis!H86*G7)</f>
        <v>12.342766587059709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0.86015220464624509</v>
      </c>
    </row>
    <row r="26" spans="1:8" ht="15.75" customHeight="1" x14ac:dyDescent="0.4">
      <c r="B26" s="138" t="s">
        <v>173</v>
      </c>
      <c r="C26" s="171">
        <f>Fin_Analysis!I83</f>
        <v>0.11297327149257705</v>
      </c>
      <c r="F26" s="141" t="s">
        <v>193</v>
      </c>
      <c r="G26" s="178">
        <f>Fin_Analysis!H88*Exchange_Rate/G3</f>
        <v>6.9688768606224638E-2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11.276455801143571</v>
      </c>
      <c r="D29" s="129">
        <f>G29*(1+G20)</f>
        <v>20.290455243630035</v>
      </c>
      <c r="E29" s="87"/>
      <c r="F29" s="131">
        <f>IF(Fin_Analysis!C108="Profit",Fin_Analysis!F100,IF(Fin_Analysis!C108="Dividend",Fin_Analysis!F103,Fin_Analysis!F106))</f>
        <v>13.266418589580672</v>
      </c>
      <c r="G29" s="274">
        <f>IF(Fin_Analysis!C108="Profit",Fin_Analysis!I100,IF(Fin_Analysis!C108="Dividend",Fin_Analysis!I103,Fin_Analysis!I106))</f>
        <v>17.643874124895685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5.5921358242618444E-3</v>
      </c>
      <c r="D56" s="153">
        <f t="shared" si="46"/>
        <v>6.3724365119010654E-3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95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232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160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8.1019112931164969E-2</v>
      </c>
      <c r="D87" s="209"/>
      <c r="E87" s="262">
        <f>E86*Exchange_Rate/Dashboard!G3</f>
        <v>8.1019112931164955E-2</v>
      </c>
      <c r="F87" s="209"/>
      <c r="H87" s="262">
        <f>H86*Exchange_Rate/Dashboard!G3</f>
        <v>8.1019112931164955E-2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0.13247713112439977</v>
      </c>
      <c r="D88" s="166">
        <f>C88/C86</f>
        <v>0.86015220464624498</v>
      </c>
      <c r="E88" s="170">
        <f>Inputs!E98</f>
        <v>0.13247713112439977</v>
      </c>
      <c r="F88" s="166">
        <f>E88/E86</f>
        <v>0.86015220464624509</v>
      </c>
      <c r="H88" s="170">
        <f>Inputs!F98</f>
        <v>0.13247713112439977</v>
      </c>
      <c r="I88" s="166">
        <f>H88/H86</f>
        <v>0.86015220464624509</v>
      </c>
      <c r="K88" s="24"/>
    </row>
    <row r="89" spans="1:11" ht="15" customHeight="1" x14ac:dyDescent="0.4">
      <c r="B89" s="87" t="s">
        <v>221</v>
      </c>
      <c r="C89" s="261">
        <f>C88*Exchange_Rate/Dashboard!G3</f>
        <v>6.9688768606224638E-2</v>
      </c>
      <c r="D89" s="209"/>
      <c r="E89" s="261">
        <f>E88*Exchange_Rate/Dashboard!G3</f>
        <v>6.9688768606224638E-2</v>
      </c>
      <c r="F89" s="209"/>
      <c r="H89" s="261">
        <f>H88*Exchange_Rate/Dashboard!G3</f>
        <v>6.9688768606224638E-2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26.683506382536688</v>
      </c>
      <c r="H93" s="87" t="s">
        <v>209</v>
      </c>
      <c r="I93" s="144">
        <f>FV(H87,D93,0,-(H86/(C93-D94)))*Exchange_Rate</f>
        <v>26.683506382536688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21.774015185301476</v>
      </c>
      <c r="H94" s="87" t="s">
        <v>210</v>
      </c>
      <c r="I94" s="144">
        <f>FV(H89,D93,0,-(H88/(C93-D94)))*Exchange_Rate</f>
        <v>21.774015185301476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10893898.721485129</v>
      </c>
      <c r="D97" s="213"/>
      <c r="E97" s="123">
        <f>PV(C94,D93,0,-F93)</f>
        <v>13.266418589580672</v>
      </c>
      <c r="F97" s="213"/>
      <c r="H97" s="123">
        <f>PV(C94,D93,0,-I93)</f>
        <v>13.266418589580672</v>
      </c>
      <c r="I97" s="123">
        <f>PV(C93,D93,0,-I93)</f>
        <v>17.643874124895685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10893898.721485129</v>
      </c>
      <c r="D100" s="109">
        <f>MIN(F100*(1-C94),E100)</f>
        <v>11.276455801143571</v>
      </c>
      <c r="E100" s="109">
        <f>MAX(E97+H98+E99,0)</f>
        <v>13.266418589580672</v>
      </c>
      <c r="F100" s="109">
        <f>(E100+H100)/2</f>
        <v>13.266418589580672</v>
      </c>
      <c r="H100" s="109">
        <f>MAX(C100*Data!$C$4/Common_Shares,0)</f>
        <v>13.266418589580672</v>
      </c>
      <c r="I100" s="109">
        <f>MAX(I97+H98+H99,0)</f>
        <v>17.643874124895685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8889533.2115720082</v>
      </c>
      <c r="D103" s="109">
        <f>MIN(F103*(1-C94),E103)</f>
        <v>9.2017037165390398</v>
      </c>
      <c r="E103" s="123">
        <f>PV(C94,D93,0,-F94)</f>
        <v>10.825533784163577</v>
      </c>
      <c r="F103" s="109">
        <f>(E103+H103)/2</f>
        <v>10.825533784163577</v>
      </c>
      <c r="H103" s="123">
        <f>PV(C94,D93,0,-I94)</f>
        <v>10.825533784163577</v>
      </c>
      <c r="I103" s="109">
        <f>PV(C93,D93,0,-I94)</f>
        <v>14.397582447202511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9891715.9665285684</v>
      </c>
      <c r="D106" s="109">
        <f>(D100+D103)/2</f>
        <v>10.239079758841307</v>
      </c>
      <c r="E106" s="123">
        <f>(E100+E103)/2</f>
        <v>12.045976186872124</v>
      </c>
      <c r="F106" s="109">
        <f>(F100+F103)/2</f>
        <v>12.045976186872124</v>
      </c>
      <c r="H106" s="123">
        <f>(H100+H103)/2</f>
        <v>12.045976186872124</v>
      </c>
      <c r="I106" s="123">
        <f>(I100+I103)/2</f>
        <v>16.020728286049099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