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FF1B9F9-4670-4DAA-A792-89C33892904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69" i="4" l="1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M52" i="2"/>
  <c r="D53" i="4" l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F91" i="4" l="1"/>
  <c r="E91" i="4"/>
  <c r="I12" i="2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F97" i="4" s="1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F92" i="4" l="1"/>
  <c r="E92" i="4"/>
  <c r="F93" i="4"/>
  <c r="E93" i="4"/>
  <c r="H75" i="3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E48" i="2"/>
  <c r="C34" i="2"/>
  <c r="C33" i="2"/>
  <c r="C47" i="3"/>
  <c r="C45" i="3"/>
  <c r="C27" i="3"/>
  <c r="C26" i="3"/>
  <c r="C44" i="3"/>
  <c r="C46" i="3"/>
  <c r="F96" i="4" l="1"/>
  <c r="H80" i="3" s="1"/>
  <c r="I80" i="3" s="1"/>
  <c r="C35" i="2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C23" i="1" l="1"/>
  <c r="F80" i="3"/>
  <c r="E80" i="3" s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F94" i="4" l="1"/>
  <c r="H81" i="3" s="1"/>
  <c r="I81" i="3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F95" i="4" l="1"/>
  <c r="E95" i="4"/>
  <c r="E82" i="3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D100" i="3" s="1"/>
  <c r="H106" i="3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<sst xmlns="http://schemas.openxmlformats.org/spreadsheetml/2006/main" count="391" uniqueCount="272">
  <si>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</si>
  <si>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</si>
  <si>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</si>
  <si>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</si>
  <si>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</si>
  <si>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</si>
  <si>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</si>
  <si>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</si>
  <si>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</si>
  <si>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</si>
  <si>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</si>
  <si>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</si>
  <si>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</si>
  <si>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</si>
  <si>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</si>
  <si>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</si>
  <si>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</si>
  <si>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</si>
  <si>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</si>
  <si>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</si>
  <si>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</si>
  <si>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</si>
  <si>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</si>
  <si>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</si>
  <si>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</si>
  <si>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</si>
  <si>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</si>
  <si>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</si>
  <si>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</si>
  <si>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</si>
  <si>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</si>
  <si>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</si>
  <si>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</si>
  <si>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</si>
  <si>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</si>
  <si>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</si>
  <si>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</si>
  <si>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</si>
  <si>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</si>
  <si>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</si>
  <si>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</si>
  <si>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</si>
  <si>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</si>
  <si>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</si>
  <si>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</si>
  <si>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</si>
  <si>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</si>
  <si>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</si>
  <si>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</si>
  <si>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</si>
  <si>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</si>
  <si>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</si>
  <si>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</si>
  <si>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</si>
  <si>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</si>
  <si>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</si>
  <si>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</si>
  <si>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</si>
  <si>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</si>
  <si>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</si>
  <si>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</si>
  <si>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</si>
  <si>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</si>
  <si>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</si>
  <si>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</si>
  <si>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</si>
  <si>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</si>
  <si>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</si>
  <si>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</si>
  <si>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</si>
  <si>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</si>
  <si>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</si>
  <si>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</si>
  <si>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</si>
  <si>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</si>
  <si>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</si>
  <si>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</si>
  <si>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</si>
  <si>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</si>
  <si>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</si>
  <si>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</si>
  <si>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</si>
  <si>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</si>
  <si>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</si>
  <si>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</si>
  <si>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</si>
  <si>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</si>
  <si>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</si>
  <si>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</si>
  <si>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</si>
  <si>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</si>
  <si>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</si>
  <si>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</si>
  <si>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</si>
  <si>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</si>
  <si>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</si>
  <si>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</si>
  <si>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</si>
  <si>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</si>
  <si>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</si>
  <si>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</si>
  <si>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</si>
  <si>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</si>
  <si>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</si>
  <si>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</si>
  <si>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</si>
  <si>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</si>
  <si>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</si>
  <si>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</si>
  <si>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</si>
  <si>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</si>
  <si>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</si>
  <si>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</si>
  <si>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</si>
  <si>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</si>
  <si>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</si>
  <si>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</si>
  <si>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</si>
  <si>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</si>
  <si>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</si>
  <si>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</si>
  <si>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</si>
  <si>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</si>
  <si>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</si>
  <si>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</si>
  <si>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</si>
  <si>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</si>
  <si>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</si>
  <si>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</si>
  <si>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</si>
  <si>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</si>
  <si>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</si>
  <si>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</si>
  <si>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</si>
  <si>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</si>
  <si>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</si>
  <si>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</si>
  <si>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</si>
  <si>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</si>
  <si>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</si>
  <si>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</si>
  <si>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</si>
  <si>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</si>
  <si>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</si>
  <si>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</si>
  <si>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</si>
  <si>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</si>
  <si>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</si>
  <si>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</si>
  <si>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</si>
  <si>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</si>
  <si>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</si>
  <si>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</si>
  <si>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</si>
  <si>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</si>
  <si>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</si>
  <si>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</si>
  <si>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</si>
  <si>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</si>
  <si>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</si>
  <si>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</si>
  <si>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</si>
  <si>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</si>
  <si>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</si>
  <si>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</si>
  <si>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</si>
  <si>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</si>
  <si>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</si>
  <si>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</si>
  <si>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</si>
  <si>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</si>
  <si>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</si>
  <si>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</si>
  <si>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</si>
  <si>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</si>
  <si>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</si>
  <si>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</si>
  <si>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</si>
  <si>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</si>
  <si>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</si>
  <si>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</si>
  <si>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</si>
  <si>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</si>
  <si>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</si>
  <si>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</si>
  <si>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</si>
  <si>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</si>
  <si>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</si>
  <si>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</si>
  <si>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</si>
  <si>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</si>
  <si>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</si>
  <si>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</si>
  <si>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</si>
  <si>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</si>
  <si>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</si>
  <si>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</si>
  <si>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</si>
  <si>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</si>
  <si>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</si>
  <si>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</si>
  <si>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</si>
  <si>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</si>
  <si>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</si>
  <si>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</si>
  <si>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</si>
  <si>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</si>
  <si>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</si>
  <si>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</si>
  <si>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</si>
  <si>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</si>
  <si>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</si>
  <si>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</si>
  <si>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</si>
  <si>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</si>
  <si>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</si>
  <si>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</si>
  <si>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</si>
  <si>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</si>
  <si>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</si>
  <si>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</si>
  <si>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</si>
  <si>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</si>
  <si>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</si>
  <si>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</si>
  <si>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</si>
  <si>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</si>
  <si>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</si>
  <si>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</si>
  <si>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</si>
  <si>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</si>
  <si>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</si>
  <si>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</si>
  <si>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</si>
  <si>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</si>
  <si>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</si>
  <si>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</si>
  <si>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</si>
  <si>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</si>
  <si>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</si>
  <si>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</si>
  <si>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</si>
  <si>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</si>
  <si>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</si>
  <si>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</si>
  <si>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</si>
  <si>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</si>
  <si>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</si>
  <si>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</si>
  <si>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</si>
  <si>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</si>
  <si>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</si>
  <si>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</si>
  <si>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</si>
  <si>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</si>
  <si>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</si>
  <si>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</si>
  <si>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</si>
  <si>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</si>
  <si>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</si>
  <si>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</si>
  <si>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</si>
  <si>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</si>
  <si>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1910.HK</t>
  </si>
  <si>
    <t>SAMSONITE</t>
  </si>
  <si>
    <t xml:space="preserve">Superior Cycl. </t>
  </si>
  <si>
    <t>USD</t>
  </si>
  <si>
    <t>Strongly agree</t>
  </si>
  <si>
    <t>agree</t>
  </si>
  <si>
    <t>Consumer Monopoly</t>
  </si>
  <si>
    <t>HKD</t>
    <phoneticPr fontId="20" type="noConversion"/>
  </si>
  <si>
    <t>C0007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</si>
</sst>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0.40723441233977836</c:v>
                </c:pt>
                <c:pt idx="1">
                  <c:v>0.41258418422767756</c:v>
                </c:pt>
                <c:pt idx="2">
                  <c:v>1.2057353899630675E-2</c:v>
                </c:pt>
                <c:pt idx="3">
                  <c:v>0</c:v>
                </c:pt>
                <c:pt idx="4">
                  <c:v>4.6980230284597004E-2</c:v>
                </c:pt>
                <c:pt idx="5">
                  <c:v>0</c:v>
                </c:pt>
                <c:pt idx="6">
                  <c:v>0.12114381924831638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1" zoomScaleNormal="100" workbookViewId="0">
      <selection activeCell="E16" sqref="E16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263</v>
      </c>
    </row>
    <row r="5" spans="1:5" ht="13.9" x14ac:dyDescent="0.4">
      <c r="B5" s="141" t="s">
        <v>195</v>
      </c>
      <c r="C5" s="191" t="s">
        <v>264</v>
      </c>
    </row>
    <row r="6" spans="1:5" ht="13.9" x14ac:dyDescent="0.4">
      <c r="B6" s="141" t="s">
        <v>163</v>
      </c>
      <c r="C6" s="189">
        <v>45591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265</v>
      </c>
      <c r="E8" s="267"/>
    </row>
    <row r="9" spans="1:5" ht="13.9" x14ac:dyDescent="0.4">
      <c r="B9" s="140" t="s">
        <v>216</v>
      </c>
      <c r="C9" s="192" t="s">
        <v>271</v>
      </c>
    </row>
    <row r="10" spans="1:5" ht="13.9" x14ac:dyDescent="0.4">
      <c r="B10" s="140" t="s">
        <v>217</v>
      </c>
      <c r="C10" s="193">
        <v>1462217799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189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268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3682.4</v>
      </c>
      <c r="D25" s="149">
        <v>2879.6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1499.6</v>
      </c>
      <c r="D26" s="150">
        <v>1274.2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1519.3</v>
      </c>
      <c r="D27" s="150">
        <v>1185.2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173</v>
      </c>
      <c r="D29" s="150">
        <v>138.30000000000001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33.299999999999997</v>
      </c>
      <c r="D30" s="150">
        <v>25.6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0.1026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3.8443734548178066E-2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815.5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v>346.1</v>
      </c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261</v>
      </c>
      <c r="C54" s="59">
        <v>95.8</v>
      </c>
      <c r="D54" s="60">
        <v>0.1</v>
      </c>
      <c r="E54" s="112"/>
    </row>
    <row r="55" spans="2:5" ht="13.9" x14ac:dyDescent="0.4">
      <c r="B55" s="3" t="s">
        <v>46</v>
      </c>
      <c r="C55" s="59">
        <v>637.70000000000005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260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701.8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1525.3</v>
      </c>
      <c r="D70" s="60">
        <v>0.05</v>
      </c>
      <c r="E70" s="112"/>
    </row>
    <row r="71" spans="2:5" ht="13.9" x14ac:dyDescent="0.4">
      <c r="B71" s="3" t="s">
        <v>74</v>
      </c>
      <c r="C71" s="59">
        <v>169.3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949.6</v>
      </c>
      <c r="D72" s="248">
        <v>0</v>
      </c>
      <c r="E72" s="249"/>
    </row>
    <row r="73" spans="2:5" ht="13.9" x14ac:dyDescent="0.4">
      <c r="B73" s="3" t="s">
        <v>38</v>
      </c>
      <c r="C73" s="59">
        <v>92.8</v>
      </c>
    </row>
    <row r="74" spans="2:5" ht="13.9" x14ac:dyDescent="0.4">
      <c r="B74" s="3" t="s">
        <v>39</v>
      </c>
      <c r="C74" s="59">
        <v>126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1180.4000000000001</v>
      </c>
    </row>
    <row r="78" spans="2:5" ht="14.25" thickTop="1" x14ac:dyDescent="0.4">
      <c r="B78" s="3" t="s">
        <v>61</v>
      </c>
      <c r="C78" s="59">
        <v>1721</v>
      </c>
    </row>
    <row r="79" spans="2:5" ht="13.9" x14ac:dyDescent="0.4">
      <c r="B79" s="3" t="s">
        <v>63</v>
      </c>
      <c r="C79" s="59">
        <v>392.6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>
        <v>121.2</v>
      </c>
    </row>
    <row r="82" spans="2:8" ht="14.25" thickBot="1" x14ac:dyDescent="0.45">
      <c r="B82" s="80" t="s">
        <v>84</v>
      </c>
      <c r="C82" s="83">
        <v>2453.6999999999998</v>
      </c>
    </row>
    <row r="83" spans="2:8" ht="14.25" thickTop="1" x14ac:dyDescent="0.4">
      <c r="B83" s="73" t="s">
        <v>220</v>
      </c>
      <c r="C83" s="59">
        <v>1478.9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3682.4</v>
      </c>
      <c r="D91" s="209"/>
      <c r="E91" s="251">
        <f>C91</f>
        <v>3682.4</v>
      </c>
      <c r="F91" s="251">
        <f>C91</f>
        <v>3682.4</v>
      </c>
    </row>
    <row r="92" spans="2:8" ht="13.9" x14ac:dyDescent="0.4">
      <c r="B92" s="104" t="s">
        <v>105</v>
      </c>
      <c r="C92" s="77">
        <f>C26</f>
        <v>1499.6</v>
      </c>
      <c r="D92" s="159">
        <f>C92/C91</f>
        <v>0.40723441233977836</v>
      </c>
      <c r="E92" s="252">
        <f>E91*D92</f>
        <v>1499.6</v>
      </c>
      <c r="F92" s="252">
        <f>F91*D92</f>
        <v>1499.6</v>
      </c>
    </row>
    <row r="93" spans="2:8" ht="13.9" x14ac:dyDescent="0.4">
      <c r="B93" s="104" t="s">
        <v>247</v>
      </c>
      <c r="C93" s="77">
        <f>C27+C28</f>
        <v>1519.3</v>
      </c>
      <c r="D93" s="159">
        <f>C93/C91</f>
        <v>0.41258418422767756</v>
      </c>
      <c r="E93" s="252">
        <f>E91*D93</f>
        <v>1519.3</v>
      </c>
      <c r="F93" s="252">
        <f>F91*D93</f>
        <v>1519.3</v>
      </c>
    </row>
    <row r="94" spans="2:8" ht="13.9" x14ac:dyDescent="0.4">
      <c r="B94" s="104" t="s">
        <v>257</v>
      </c>
      <c r="C94" s="77">
        <f>C29</f>
        <v>173</v>
      </c>
      <c r="D94" s="159">
        <f>C94/C91</f>
        <v>4.6980230284597004E-2</v>
      </c>
      <c r="E94" s="253"/>
      <c r="F94" s="252">
        <f>F91*D94</f>
        <v>173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44.4</v>
      </c>
      <c r="D97" s="159">
        <f>C97/C91</f>
        <v>1.2057353899630675E-2</v>
      </c>
      <c r="E97" s="253"/>
      <c r="F97" s="252">
        <f>F91*D97</f>
        <v>44.4</v>
      </c>
    </row>
    <row r="98" spans="2:7" ht="13.9" x14ac:dyDescent="0.4">
      <c r="B98" s="86" t="s">
        <v>207</v>
      </c>
      <c r="C98" s="237">
        <f>C44</f>
        <v>0.1026</v>
      </c>
      <c r="D98" s="266"/>
      <c r="E98" s="254">
        <f>F98</f>
        <v>0.1026</v>
      </c>
      <c r="F98" s="254">
        <f>C98</f>
        <v>0.1026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1910.HK : SAMSONITE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1910.HK</v>
      </c>
      <c r="D3" s="278"/>
      <c r="E3" s="87"/>
      <c r="F3" s="3" t="s">
        <v>1</v>
      </c>
      <c r="G3" s="132">
        <v>20.75</v>
      </c>
      <c r="H3" s="134" t="s">
        <v>270</v>
      </c>
    </row>
    <row r="4" spans="1:10" ht="15.75" customHeight="1" x14ac:dyDescent="0.4">
      <c r="B4" s="35" t="s">
        <v>195</v>
      </c>
      <c r="C4" s="279" t="str">
        <f>Inputs!C5</f>
        <v>SAMSONITE</v>
      </c>
      <c r="D4" s="280"/>
      <c r="E4" s="87"/>
      <c r="F4" s="3" t="s">
        <v>2</v>
      </c>
      <c r="G4" s="283">
        <f>Inputs!C10</f>
        <v>1462217799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45591</v>
      </c>
      <c r="D5" s="282"/>
      <c r="E5" s="34"/>
      <c r="F5" s="35" t="s">
        <v>99</v>
      </c>
      <c r="G5" s="275">
        <f>G3*G4/1000000</f>
        <v>30341.019329250001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C0007</v>
      </c>
      <c r="E7" s="87"/>
      <c r="F7" s="35" t="s">
        <v>5</v>
      </c>
      <c r="G7" s="133">
        <v>7.7749268213907881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0.40723441233977836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0.41258418422767756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1.2057353899630675E-2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2.4283874530295244</v>
      </c>
    </row>
    <row r="24" spans="1:8" ht="15.75" customHeight="1" x14ac:dyDescent="0.4">
      <c r="B24" s="137" t="s">
        <v>170</v>
      </c>
      <c r="C24" s="171">
        <f>Fin_Analysis!I81</f>
        <v>4.6980230284597004E-2</v>
      </c>
      <c r="F24" s="140" t="s">
        <v>259</v>
      </c>
      <c r="G24" s="268">
        <f>G3/(Fin_Analysis!H86*G7)</f>
        <v>11.663808225415661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0.44840034723873545</v>
      </c>
    </row>
    <row r="26" spans="1:8" ht="15.75" customHeight="1" x14ac:dyDescent="0.4">
      <c r="B26" s="138" t="s">
        <v>173</v>
      </c>
      <c r="C26" s="171">
        <f>Fin_Analysis!I83</f>
        <v>0.12114381924831638</v>
      </c>
      <c r="F26" s="141" t="s">
        <v>193</v>
      </c>
      <c r="G26" s="178">
        <f>Fin_Analysis!H88*Exchange_Rate/G3</f>
        <v>3.8443734548178066E-2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17.304121462507339</v>
      </c>
      <c r="D29" s="129">
        <f>G29*(1+G20)</f>
        <v>32.649460549435055</v>
      </c>
      <c r="E29" s="87"/>
      <c r="F29" s="131">
        <f>IF(Fin_Analysis!C108="Profit",Fin_Analysis!F100,IF(Fin_Analysis!C108="Dividend",Fin_Analysis!F103,Fin_Analysis!F106))</f>
        <v>20.357789955890986</v>
      </c>
      <c r="G29" s="274">
        <f>IF(Fin_Analysis!C108="Profit",Fin_Analysis!I100,IF(Fin_Analysis!C108="Dividend",Fin_Analysis!I103,Fin_Analysis!I106))</f>
        <v>28.390835260378314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disagree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619.10000000000025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USD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3682.4</v>
      </c>
      <c r="D6" s="200">
        <f>IF(Inputs!D25="","",Inputs!D25)</f>
        <v>2879.6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0.27878872065564675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1499.6</v>
      </c>
      <c r="D8" s="199">
        <f>IF(Inputs!D26="","",Inputs!D26)</f>
        <v>1274.2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2182.8000000000002</v>
      </c>
      <c r="D9" s="151">
        <f t="shared" si="2"/>
        <v>1605.3999999999999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1519.3</v>
      </c>
      <c r="D10" s="199">
        <f>IF(Inputs!D27="","",Inputs!D27)</f>
        <v>1185.2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44.4</v>
      </c>
      <c r="D12" s="199">
        <f>IF(Inputs!D30="","",MAX(Inputs!D30,0)/(1-Fin_Analysis!$I$84))</f>
        <v>34.133333333333333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0.16812404953291338</v>
      </c>
      <c r="D13" s="229">
        <f t="shared" si="3"/>
        <v>0.13406954669630036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619.10000000000025</v>
      </c>
      <c r="D14" s="230">
        <f t="shared" ref="D14:M14" si="4">IF(D6="","",D9-D10-MAX(D11,0)-MAX(D12,0))</f>
        <v>386.06666666666649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0.60360904852357244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173</v>
      </c>
      <c r="D17" s="199">
        <f>IF(Inputs!D29="","",Inputs!D29)</f>
        <v>138.30000000000001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446.10000000000025</v>
      </c>
      <c r="D22" s="161">
        <f t="shared" ref="D22:M22" si="8">IF(D6="","",D14-MAX(D16,0)-MAX(D17,0)-ABS(MAX(D21,0)-MAX(D19,0)))</f>
        <v>247.76666666666648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9.0857864436237279E-2</v>
      </c>
      <c r="D23" s="153">
        <f t="shared" si="9"/>
        <v>6.4531532157244026E-2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334.57500000000016</v>
      </c>
      <c r="D24" s="77">
        <f>IF(D6="","",D22*(1-Fin_Analysis!$I$84))</f>
        <v>185.82499999999987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0.80048432665142144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5241.1000000000004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1895.1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346.1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637.70000000000005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1180.4000000000001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2453.6999999999998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218.8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2234.7999999999997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2453.6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1607.0000000000005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128.10000000000036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815.5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4425.6000000000004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0.13989063629790316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0.40723441233977836</v>
      </c>
      <c r="D42" s="156">
        <f t="shared" si="34"/>
        <v>0.44249201277955275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0.41258418422767756</v>
      </c>
      <c r="D43" s="153">
        <f t="shared" si="35"/>
        <v>0.41158494235310461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4.6980230284597004E-2</v>
      </c>
      <c r="D45" s="153">
        <f t="shared" si="37"/>
        <v>4.8027503819975004E-2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1.2057353899630675E-2</v>
      </c>
      <c r="D46" s="153">
        <f t="shared" ref="D46:M46" si="38">IF(D6="","",MAX(D12,0)/D6)</f>
        <v>1.1853498171042275E-2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0.12114381924831638</v>
      </c>
      <c r="D48" s="153">
        <f t="shared" si="40"/>
        <v>8.6042042876325359E-2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9.3987616771670654E-2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0.17317510319356941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262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0.69338497643624419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0.18181447668731671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0.38780542479264718</v>
      </c>
      <c r="D56" s="153">
        <f t="shared" si="46"/>
        <v>0.55818646576079689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1.6054727211114874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1607.0000000000005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1478.9</v>
      </c>
      <c r="K3" s="24"/>
    </row>
    <row r="4" spans="1:11" ht="15" customHeight="1" x14ac:dyDescent="0.4">
      <c r="B4" s="3" t="s">
        <v>24</v>
      </c>
      <c r="C4" s="87"/>
      <c r="D4" s="65">
        <f>D3-I3</f>
        <v>128.10000000000036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1.6054727211114874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-18475.725243602232</v>
      </c>
      <c r="E6" s="56">
        <f>1-D6/D3</f>
        <v>12.497028776354838</v>
      </c>
      <c r="F6" s="87"/>
      <c r="G6" s="87"/>
      <c r="H6" s="1" t="s">
        <v>29</v>
      </c>
      <c r="I6" s="63">
        <f>(C24+C25)/I28</f>
        <v>1.0652321247034902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0.98407319552693984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815.5</v>
      </c>
      <c r="D11" s="198">
        <f>Inputs!D48</f>
        <v>0.9</v>
      </c>
      <c r="E11" s="88">
        <f t="shared" ref="E11:E22" si="0">C11*D11</f>
        <v>733.95</v>
      </c>
      <c r="F11" s="112"/>
      <c r="G11" s="87"/>
      <c r="H11" s="3" t="s">
        <v>38</v>
      </c>
      <c r="I11" s="40">
        <f>Inputs!C73</f>
        <v>92.8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126</v>
      </c>
      <c r="J12" s="87"/>
      <c r="K12" s="24"/>
    </row>
    <row r="13" spans="1:11" ht="13.9" x14ac:dyDescent="0.4">
      <c r="B13" s="3" t="s">
        <v>116</v>
      </c>
      <c r="C13" s="40">
        <f>Inputs!C50</f>
        <v>346.1</v>
      </c>
      <c r="D13" s="198">
        <f>Inputs!D50</f>
        <v>0.6</v>
      </c>
      <c r="E13" s="88">
        <f t="shared" si="0"/>
        <v>207.66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218.8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95.8</v>
      </c>
      <c r="D17" s="198">
        <f>Inputs!D54</f>
        <v>0.1</v>
      </c>
      <c r="E17" s="88">
        <f t="shared" si="0"/>
        <v>9.58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637.70000000000005</v>
      </c>
      <c r="D18" s="198">
        <f>Inputs!D55</f>
        <v>0.5</v>
      </c>
      <c r="E18" s="88">
        <f t="shared" si="0"/>
        <v>318.85000000000002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961.60000000000014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1161.5999999999999</v>
      </c>
      <c r="D24" s="62">
        <f>IF(E24=0,0,E24/C24)</f>
        <v>0.81061466942148763</v>
      </c>
      <c r="E24" s="88">
        <f>SUM(E11:E14)</f>
        <v>941.61</v>
      </c>
      <c r="F24" s="113">
        <f>E24/$E$28</f>
        <v>0.74140184561116185</v>
      </c>
      <c r="G24" s="87"/>
    </row>
    <row r="25" spans="2:10" ht="15" customHeight="1" x14ac:dyDescent="0.4">
      <c r="B25" s="23" t="s">
        <v>54</v>
      </c>
      <c r="C25" s="61">
        <f>SUM(C15:C17)</f>
        <v>95.8</v>
      </c>
      <c r="D25" s="62">
        <f>IF(E25=0,0,E25/C25)</f>
        <v>0.1</v>
      </c>
      <c r="E25" s="88">
        <f>SUM(E15:E17)</f>
        <v>9.58</v>
      </c>
      <c r="F25" s="113">
        <f>E25/$E$28</f>
        <v>7.5430695096217444E-3</v>
      </c>
      <c r="G25" s="87"/>
      <c r="H25" s="23" t="s">
        <v>55</v>
      </c>
      <c r="I25" s="63">
        <f>E28/I28</f>
        <v>1.075940359200271</v>
      </c>
    </row>
    <row r="26" spans="2:10" ht="15" customHeight="1" x14ac:dyDescent="0.4">
      <c r="B26" s="23" t="s">
        <v>56</v>
      </c>
      <c r="C26" s="61">
        <f>C18+C19+C20</f>
        <v>637.70000000000005</v>
      </c>
      <c r="D26" s="62">
        <f>IF(E26=0,0,E26/C26)</f>
        <v>0.5</v>
      </c>
      <c r="E26" s="88">
        <f>E18+E19+E20</f>
        <v>318.85000000000002</v>
      </c>
      <c r="F26" s="113">
        <f>E26/$E$28</f>
        <v>0.25105508487921641</v>
      </c>
      <c r="G26" s="87"/>
      <c r="H26" s="23" t="s">
        <v>57</v>
      </c>
      <c r="I26" s="63">
        <f>E24/($I$28-I22)</f>
        <v>4.3035191956124326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0.80582006099627246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1895.1</v>
      </c>
      <c r="D28" s="57">
        <f>E28/C28</f>
        <v>0.67017043955464095</v>
      </c>
      <c r="E28" s="70">
        <f>SUM(E24:E27)</f>
        <v>1270.04</v>
      </c>
      <c r="F28" s="112"/>
      <c r="G28" s="87"/>
      <c r="H28" s="78" t="s">
        <v>15</v>
      </c>
      <c r="I28" s="206">
        <f>Inputs!C77</f>
        <v>1180.4000000000001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1721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392.6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121.2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2234.7999999999997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701.8</v>
      </c>
      <c r="D38" s="198">
        <f>Inputs!D68</f>
        <v>0.1</v>
      </c>
      <c r="E38" s="88">
        <f t="shared" si="1"/>
        <v>70.179999999999993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1525.3</v>
      </c>
      <c r="D40" s="198">
        <f>Inputs!D70</f>
        <v>0.05</v>
      </c>
      <c r="E40" s="88">
        <f t="shared" si="1"/>
        <v>76.265000000000001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169.3</v>
      </c>
      <c r="D41" s="198">
        <f>Inputs!D71</f>
        <v>0.9</v>
      </c>
      <c r="E41" s="88">
        <f t="shared" si="1"/>
        <v>152.37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949.6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218.90000000000009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701.8</v>
      </c>
      <c r="D46" s="62">
        <f>IF(E46=0,0,E46/C46)</f>
        <v>9.9999999999999992E-2</v>
      </c>
      <c r="E46" s="88">
        <f>E36+E37+E38+E39</f>
        <v>70.179999999999993</v>
      </c>
      <c r="F46" s="87"/>
      <c r="G46" s="87"/>
      <c r="H46" s="23" t="s">
        <v>80</v>
      </c>
      <c r="I46" s="63">
        <f>(E44+E24)/E64</f>
        <v>0.38376671014020219</v>
      </c>
      <c r="J46" s="8" t="str">
        <f>IF(I46&lt;1,"Liquidity Problem!","")</f>
        <v>Liquidity Problem!</v>
      </c>
    </row>
    <row r="47" spans="2:10" ht="15" customHeight="1" x14ac:dyDescent="0.4">
      <c r="B47" s="23" t="s">
        <v>81</v>
      </c>
      <c r="C47" s="61">
        <f>C40+C41+C42</f>
        <v>2644.2</v>
      </c>
      <c r="D47" s="62">
        <f>IF(E47=0,0,E47/C47)</f>
        <v>8.6466606156871642E-2</v>
      </c>
      <c r="E47" s="88">
        <f>E40+E41+E42</f>
        <v>228.63499999999999</v>
      </c>
      <c r="F47" s="87"/>
      <c r="G47" s="87"/>
      <c r="H47" s="23" t="s">
        <v>82</v>
      </c>
      <c r="I47" s="63">
        <f>(E44+E45+E24+E25)/$I$49</f>
        <v>0.26174018326408194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83</v>
      </c>
      <c r="C48" s="81">
        <f>SUM(C30:C42)</f>
        <v>3346</v>
      </c>
      <c r="D48" s="82">
        <f>E48/C48</f>
        <v>8.9305140466228325E-2</v>
      </c>
      <c r="E48" s="76">
        <f>SUM(E30:E42)</f>
        <v>298.815</v>
      </c>
      <c r="F48" s="87"/>
      <c r="G48" s="87"/>
      <c r="H48" s="80" t="s">
        <v>84</v>
      </c>
      <c r="I48" s="207">
        <f>Inputs!C82</f>
        <v>2453.6999999999998</v>
      </c>
      <c r="J48" s="8"/>
    </row>
    <row r="49" spans="2:11" ht="15" customHeight="1" thickTop="1" x14ac:dyDescent="0.4">
      <c r="B49" s="3" t="s">
        <v>13</v>
      </c>
      <c r="C49" s="61">
        <f>C28+C48</f>
        <v>5241.1000000000004</v>
      </c>
      <c r="D49" s="56">
        <f>E49/C49</f>
        <v>0.29933697124649405</v>
      </c>
      <c r="E49" s="88">
        <f>E28+E48</f>
        <v>1568.855</v>
      </c>
      <c r="F49" s="87"/>
      <c r="G49" s="87"/>
      <c r="H49" s="3" t="s">
        <v>85</v>
      </c>
      <c r="I49" s="52">
        <f>I28+I48</f>
        <v>3634.1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128.10000000000036</v>
      </c>
      <c r="D53" s="29">
        <f>IF(E53=0, 0,E53/C53)</f>
        <v>2.4283874530295244</v>
      </c>
      <c r="E53" s="88">
        <f>IF(C53=0,0,MAX(C53,C53*Dashboard!G23))</f>
        <v>311.07643273308298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2453.6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815.5</v>
      </c>
      <c r="D62" s="107">
        <f t="shared" si="2"/>
        <v>0.9</v>
      </c>
      <c r="E62" s="118">
        <f>E11+E30</f>
        <v>733.95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815.5</v>
      </c>
      <c r="D63" s="29">
        <f t="shared" si="2"/>
        <v>0.9</v>
      </c>
      <c r="E63" s="61">
        <f>E61+E62</f>
        <v>733.95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2453.6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-1638.1</v>
      </c>
      <c r="D65" s="29">
        <f t="shared" si="2"/>
        <v>1.0497832855137048</v>
      </c>
      <c r="E65" s="61">
        <f>E63-E64</f>
        <v>-1719.6499999999999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4425.6000000000004</v>
      </c>
      <c r="D68" s="29">
        <f t="shared" si="2"/>
        <v>0.18865351590744756</v>
      </c>
      <c r="E68" s="68">
        <f>E49-E63</f>
        <v>834.90499999999997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1180.5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3245.1000000000004</v>
      </c>
      <c r="D70" s="29">
        <f t="shared" si="2"/>
        <v>-0.10649748852115497</v>
      </c>
      <c r="E70" s="68">
        <f>E68-E69</f>
        <v>-345.59500000000003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3682.4</v>
      </c>
      <c r="D74" s="209"/>
      <c r="E74" s="238">
        <f>Inputs!E91</f>
        <v>3682.4</v>
      </c>
      <c r="F74" s="209"/>
      <c r="H74" s="238">
        <f>Inputs!F91</f>
        <v>3682.4</v>
      </c>
      <c r="I74" s="209"/>
      <c r="K74" s="24"/>
    </row>
    <row r="75" spans="1:11" ht="15" customHeight="1" x14ac:dyDescent="0.4">
      <c r="B75" s="104" t="s">
        <v>105</v>
      </c>
      <c r="C75" s="77">
        <f>Data!C8</f>
        <v>1499.6</v>
      </c>
      <c r="D75" s="159">
        <f>C75/$C$74</f>
        <v>0.40723441233977836</v>
      </c>
      <c r="E75" s="238">
        <f>Inputs!E92</f>
        <v>1499.6</v>
      </c>
      <c r="F75" s="160">
        <f>E75/E74</f>
        <v>0.40723441233977836</v>
      </c>
      <c r="H75" s="238">
        <f>Inputs!F92</f>
        <v>1499.6</v>
      </c>
      <c r="I75" s="160">
        <f>H75/$H$74</f>
        <v>0.40723441233977836</v>
      </c>
      <c r="K75" s="24"/>
    </row>
    <row r="76" spans="1:11" ht="15" customHeight="1" x14ac:dyDescent="0.4">
      <c r="B76" s="35" t="s">
        <v>95</v>
      </c>
      <c r="C76" s="161">
        <f>C74-C75</f>
        <v>2182.8000000000002</v>
      </c>
      <c r="D76" s="210"/>
      <c r="E76" s="162">
        <f>E74-E75</f>
        <v>2182.8000000000002</v>
      </c>
      <c r="F76" s="210"/>
      <c r="H76" s="162">
        <f>H74-H75</f>
        <v>2182.8000000000002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1519.3</v>
      </c>
      <c r="D77" s="159">
        <f>C77/$C$74</f>
        <v>0.41258418422767756</v>
      </c>
      <c r="E77" s="238">
        <f>Inputs!E93</f>
        <v>1519.3</v>
      </c>
      <c r="F77" s="160">
        <f>E77/E74</f>
        <v>0.41258418422767756</v>
      </c>
      <c r="H77" s="238">
        <f>Inputs!F93</f>
        <v>1519.3</v>
      </c>
      <c r="I77" s="160">
        <f>H77/$H$74</f>
        <v>0.41258418422767756</v>
      </c>
      <c r="K77" s="24"/>
    </row>
    <row r="78" spans="1:11" ht="15" customHeight="1" x14ac:dyDescent="0.4">
      <c r="B78" s="73" t="s">
        <v>172</v>
      </c>
      <c r="C78" s="77">
        <f>MAX(Data!C12,0)</f>
        <v>44.4</v>
      </c>
      <c r="D78" s="159">
        <f>C78/$C$74</f>
        <v>1.2057353899630675E-2</v>
      </c>
      <c r="E78" s="180">
        <f>E74*F78</f>
        <v>44.4</v>
      </c>
      <c r="F78" s="160">
        <f>I78</f>
        <v>1.2057353899630675E-2</v>
      </c>
      <c r="H78" s="238">
        <f>Inputs!F97</f>
        <v>44.4</v>
      </c>
      <c r="I78" s="160">
        <f>H78/$H$74</f>
        <v>1.2057353899630675E-2</v>
      </c>
      <c r="K78" s="24"/>
    </row>
    <row r="79" spans="1:11" ht="15" customHeight="1" x14ac:dyDescent="0.4">
      <c r="B79" s="256" t="s">
        <v>232</v>
      </c>
      <c r="C79" s="257">
        <f>C76-C77-C78</f>
        <v>619.10000000000025</v>
      </c>
      <c r="D79" s="258">
        <f>C79/C74</f>
        <v>0.16812404953291338</v>
      </c>
      <c r="E79" s="259">
        <f>E76-E77-E78</f>
        <v>619.10000000000025</v>
      </c>
      <c r="F79" s="258">
        <f>E79/E74</f>
        <v>0.16812404953291338</v>
      </c>
      <c r="G79" s="260"/>
      <c r="H79" s="259">
        <f>H76-H77-H78</f>
        <v>619.10000000000025</v>
      </c>
      <c r="I79" s="258">
        <f>H79/H74</f>
        <v>0.16812404953291338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173</v>
      </c>
      <c r="D81" s="159">
        <f>C81/$C$74</f>
        <v>4.6980230284597004E-2</v>
      </c>
      <c r="E81" s="180">
        <f>E74*F81</f>
        <v>173</v>
      </c>
      <c r="F81" s="160">
        <f>I81</f>
        <v>4.6980230284597004E-2</v>
      </c>
      <c r="H81" s="238">
        <f>Inputs!F94</f>
        <v>173</v>
      </c>
      <c r="I81" s="160">
        <f>H81/$H$74</f>
        <v>4.6980230284597004E-2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446.10000000000025</v>
      </c>
      <c r="D83" s="164">
        <f>C83/$C$74</f>
        <v>0.12114381924831638</v>
      </c>
      <c r="E83" s="165">
        <f>E79-E81-E82-E80</f>
        <v>446.10000000000025</v>
      </c>
      <c r="F83" s="164">
        <f>E83/E74</f>
        <v>0.12114381924831638</v>
      </c>
      <c r="H83" s="165">
        <f>H79-H81-H82-H80</f>
        <v>446.10000000000025</v>
      </c>
      <c r="I83" s="164">
        <f>H83/$H$74</f>
        <v>0.12114381924831638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334.57500000000016</v>
      </c>
      <c r="D85" s="258">
        <f>C85/$C$74</f>
        <v>9.0857864436237279E-2</v>
      </c>
      <c r="E85" s="264">
        <f>E83*(1-F84)</f>
        <v>334.57500000000016</v>
      </c>
      <c r="F85" s="258">
        <f>E85/E74</f>
        <v>9.0857864436237279E-2</v>
      </c>
      <c r="G85" s="260"/>
      <c r="H85" s="264">
        <f>H83*(1-I84)</f>
        <v>334.57500000000016</v>
      </c>
      <c r="I85" s="258">
        <f>H85/$H$74</f>
        <v>9.0857864436237279E-2</v>
      </c>
      <c r="K85" s="24"/>
    </row>
    <row r="86" spans="1:11" ht="15" customHeight="1" x14ac:dyDescent="0.4">
      <c r="B86" s="87" t="s">
        <v>160</v>
      </c>
      <c r="C86" s="167">
        <f>C85*Data!C4/Common_Shares</f>
        <v>0.22881338213008592</v>
      </c>
      <c r="D86" s="209"/>
      <c r="E86" s="168">
        <f>E85*Data!C4/Common_Shares</f>
        <v>0.22881338213008592</v>
      </c>
      <c r="F86" s="209"/>
      <c r="H86" s="168">
        <f>H85*Data!C4/Common_Shares</f>
        <v>0.22881338213008592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8.5735291653799742E-2</v>
      </c>
      <c r="D87" s="209"/>
      <c r="E87" s="262">
        <f>E86*Exchange_Rate/Dashboard!G3</f>
        <v>8.5735291653799742E-2</v>
      </c>
      <c r="F87" s="209"/>
      <c r="H87" s="262">
        <f>H86*Exchange_Rate/Dashboard!G3</f>
        <v>8.5735291653799742E-2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0.1026</v>
      </c>
      <c r="D88" s="166">
        <f>C88/C86</f>
        <v>0.44840034723873545</v>
      </c>
      <c r="E88" s="170">
        <f>Inputs!E98</f>
        <v>0.1026</v>
      </c>
      <c r="F88" s="166">
        <f>E88/E86</f>
        <v>0.44840034723873545</v>
      </c>
      <c r="H88" s="170">
        <f>Inputs!F98</f>
        <v>0.1026</v>
      </c>
      <c r="I88" s="166">
        <f>H88/H86</f>
        <v>0.44840034723873545</v>
      </c>
      <c r="K88" s="24"/>
    </row>
    <row r="89" spans="1:11" ht="15" customHeight="1" x14ac:dyDescent="0.4">
      <c r="B89" s="87" t="s">
        <v>221</v>
      </c>
      <c r="C89" s="261">
        <f>C88*Exchange_Rate/Dashboard!G3</f>
        <v>3.8443734548178066E-2</v>
      </c>
      <c r="D89" s="209"/>
      <c r="E89" s="261">
        <f>E88*Exchange_Rate/Dashboard!G3</f>
        <v>3.8443734548178066E-2</v>
      </c>
      <c r="F89" s="209"/>
      <c r="H89" s="261">
        <f>H88*Exchange_Rate/Dashboard!G3</f>
        <v>3.8443734548178066E-2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209</v>
      </c>
      <c r="F93" s="144">
        <f>FV(E87,D93,0,-(E86/(C93-D94)))*Exchange_Rate</f>
        <v>44.273693344893871</v>
      </c>
      <c r="H93" s="87" t="s">
        <v>209</v>
      </c>
      <c r="I93" s="144">
        <f>FV(H87,D93,0,-(H86/(C93-D94)))*Exchange_Rate</f>
        <v>44.273693344893871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15.88937339886836</v>
      </c>
      <c r="H94" s="87" t="s">
        <v>210</v>
      </c>
      <c r="I94" s="144">
        <f>FV(H89,D93,0,-(H88/(C93-D94)))*Exchange_Rate</f>
        <v>15.88937339886836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32186.119322166236</v>
      </c>
      <c r="D97" s="213"/>
      <c r="E97" s="123">
        <f>PV(C94,D93,0,-F93)</f>
        <v>22.011850316811959</v>
      </c>
      <c r="F97" s="213"/>
      <c r="H97" s="123">
        <f>PV(C94,D93,0,-I93)</f>
        <v>22.011850316811959</v>
      </c>
      <c r="I97" s="123">
        <f>PV(C93,D93,0,-I93)</f>
        <v>30.04489562129929</v>
      </c>
      <c r="K97" s="24"/>
    </row>
    <row r="98" spans="2:11" ht="15" customHeight="1" x14ac:dyDescent="0.4">
      <c r="B98" s="28" t="s">
        <v>144</v>
      </c>
      <c r="C98" s="91">
        <f>-E53*Exchange_Rate</f>
        <v>-2418.596500359014</v>
      </c>
      <c r="D98" s="213"/>
      <c r="E98" s="213"/>
      <c r="F98" s="213"/>
      <c r="H98" s="123">
        <f>C98*Data!$C$4/Common_Shares</f>
        <v>-1.6540603609209752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29767.522821807222</v>
      </c>
      <c r="D100" s="109">
        <f>MIN(F100*(1-C94),E100)</f>
        <v>17.304121462507339</v>
      </c>
      <c r="E100" s="109">
        <f>MAX(E97+H98+E99,0)</f>
        <v>20.357789955890983</v>
      </c>
      <c r="F100" s="109">
        <f>(E100+H100)/2</f>
        <v>20.357789955890986</v>
      </c>
      <c r="H100" s="109">
        <f>MAX(C100*Data!$C$4/Common_Shares,0)</f>
        <v>20.357789955890986</v>
      </c>
      <c r="I100" s="109">
        <f>MAX(I97+H98+H99,0)</f>
        <v>28.390835260378314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11551.267344842227</v>
      </c>
      <c r="D103" s="109">
        <f>MIN(F103*(1-C94),E103)</f>
        <v>6.7148527735271335</v>
      </c>
      <c r="E103" s="123">
        <f>PV(C94,D93,0,-F94)</f>
        <v>7.8998267923848635</v>
      </c>
      <c r="F103" s="109">
        <f>(E103+H103)/2</f>
        <v>7.8998267923848635</v>
      </c>
      <c r="H103" s="123">
        <f>PV(C94,D93,0,-I94)</f>
        <v>7.8998267923848635</v>
      </c>
      <c r="I103" s="109">
        <f>PV(C93,D93,0,-I94)</f>
        <v>10.78280417081824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20659.395083324722</v>
      </c>
      <c r="D106" s="109">
        <f>(D100+D103)/2</f>
        <v>12.009487118017237</v>
      </c>
      <c r="E106" s="123">
        <f>(E100+E103)/2</f>
        <v>14.128808374137924</v>
      </c>
      <c r="F106" s="109">
        <f>(F100+F103)/2</f>
        <v>14.128808374137925</v>
      </c>
      <c r="H106" s="123">
        <f>(H100+H103)/2</f>
        <v>14.128808374137925</v>
      </c>
      <c r="I106" s="123">
        <f>(I100+I103)/2</f>
        <v>19.586819715598278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2024-12-16T03:18:28Z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