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D338AE5-C7F1-4984-A155-041F7941B2F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69" i="4" l="1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M52" i="2"/>
  <c r="D56" i="4" l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F91" i="4" l="1"/>
  <c r="E91" i="4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I12" i="2" l="1"/>
  <c r="J12" i="2"/>
  <c r="D12" i="2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J6" i="2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E52" i="2" l="1"/>
  <c r="H52" i="2"/>
  <c r="I52" i="2"/>
  <c r="G52" i="2"/>
  <c r="C52" i="2"/>
  <c r="F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47" i="2"/>
  <c r="J47" i="2"/>
  <c r="F47" i="2"/>
  <c r="C47" i="2"/>
  <c r="M22" i="2"/>
  <c r="M47" i="2"/>
  <c r="L46" i="2"/>
  <c r="L14" i="2"/>
  <c r="K15" i="2" s="1"/>
  <c r="I46" i="2"/>
  <c r="K46" i="2"/>
  <c r="K14" i="2"/>
  <c r="J15" i="2" s="1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I14" i="2" s="1"/>
  <c r="I22" i="2" s="1"/>
  <c r="D7" i="2"/>
  <c r="K9" i="2"/>
  <c r="J9" i="2"/>
  <c r="J14" i="2" s="1"/>
  <c r="J22" i="2" s="1"/>
  <c r="E102" i="3"/>
  <c r="H102" i="3"/>
  <c r="C93" i="3"/>
  <c r="I94" i="3" s="1"/>
  <c r="H103" i="3" l="1"/>
  <c r="I103" i="3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F92" i="4" l="1"/>
  <c r="H75" i="3" s="1"/>
  <c r="E92" i="4"/>
  <c r="F93" i="4"/>
  <c r="E93" i="4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H80" i="3" l="1"/>
  <c r="I80" i="3" s="1"/>
  <c r="F80" i="3" s="1"/>
  <c r="E80" i="3" s="1"/>
  <c r="F96" i="4"/>
  <c r="C35" i="2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F95" i="4" l="1"/>
  <c r="E95" i="4"/>
  <c r="E82" i="3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<sst xmlns="http://schemas.openxmlformats.org/spreadsheetml/2006/main" count="391" uniqueCount="272">
  <si>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</si>
  <si>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</si>
  <si>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</si>
  <si>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</si>
  <si>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</si>
  <si>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</si>
  <si>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</si>
  <si>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</si>
  <si>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</si>
  <si>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</si>
  <si>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</si>
  <si>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</si>
  <si>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</si>
  <si>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</si>
  <si>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</si>
  <si>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</si>
  <si>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</si>
  <si>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</si>
  <si>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</si>
  <si>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</si>
  <si>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</si>
  <si>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</si>
  <si>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</si>
  <si>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</si>
  <si>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</si>
  <si>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</si>
  <si>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</si>
  <si>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</si>
  <si>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</si>
  <si>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</si>
  <si>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</si>
  <si>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</si>
  <si>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</si>
  <si>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</si>
  <si>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</si>
  <si>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</si>
  <si>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</si>
  <si>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</si>
  <si>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</si>
  <si>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</si>
  <si>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</si>
  <si>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</si>
  <si>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</si>
  <si>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</si>
  <si>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</si>
  <si>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</si>
  <si>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</si>
  <si>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</si>
  <si>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</si>
  <si>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</si>
  <si>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</si>
  <si>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</si>
  <si>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</si>
  <si>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</si>
  <si>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</si>
  <si>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</si>
  <si>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</si>
  <si>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</si>
  <si>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</si>
  <si>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</si>
  <si>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</si>
  <si>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</si>
  <si>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</si>
  <si>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</si>
  <si>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</si>
  <si>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</si>
  <si>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</si>
  <si>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</si>
  <si>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</si>
  <si>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</si>
  <si>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</si>
  <si>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</si>
  <si>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</si>
  <si>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</si>
  <si>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</si>
  <si>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</si>
  <si>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</si>
  <si>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</si>
  <si>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</si>
  <si>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</si>
  <si>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</si>
  <si>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</si>
  <si>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</si>
  <si>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</si>
  <si>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</si>
  <si>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</si>
  <si>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</si>
  <si>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</si>
  <si>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</si>
  <si>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</si>
  <si>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</si>
  <si>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</si>
  <si>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</si>
  <si>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</si>
  <si>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</si>
  <si>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</si>
  <si>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</si>
  <si>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</si>
  <si>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</si>
  <si>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</si>
  <si>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</si>
  <si>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</si>
  <si>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</si>
  <si>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</si>
  <si>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</si>
  <si>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</si>
  <si>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</si>
  <si>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</si>
  <si>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</si>
  <si>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</si>
  <si>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</si>
  <si>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</si>
  <si>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</si>
  <si>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</si>
  <si>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</si>
  <si>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</si>
  <si>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</si>
  <si>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</si>
  <si>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</si>
  <si>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</si>
  <si>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</si>
  <si>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</si>
  <si>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</si>
  <si>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</si>
  <si>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</si>
  <si>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</si>
  <si>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</si>
  <si>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</si>
  <si>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</si>
  <si>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</si>
  <si>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</si>
  <si>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</si>
  <si>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</si>
  <si>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</si>
  <si>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</si>
  <si>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</si>
  <si>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</si>
  <si>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</si>
  <si>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</si>
  <si>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</si>
  <si>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</si>
  <si>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</si>
  <si>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</si>
  <si>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</si>
  <si>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</si>
  <si>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</si>
  <si>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</si>
  <si>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</si>
  <si>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</si>
  <si>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</si>
  <si>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</si>
  <si>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</si>
  <si>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</si>
  <si>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</si>
  <si>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</si>
  <si>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</si>
  <si>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</si>
  <si>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</si>
  <si>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</si>
  <si>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</si>
  <si>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</si>
  <si>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</si>
  <si>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</si>
  <si>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</si>
  <si>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</si>
  <si>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</si>
  <si>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</si>
  <si>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</si>
  <si>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</si>
  <si>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</si>
  <si>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</si>
  <si>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</si>
  <si>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</si>
  <si>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</si>
  <si>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</si>
  <si>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</si>
  <si>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</si>
  <si>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</si>
  <si>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</si>
  <si>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</si>
  <si>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</si>
  <si>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</si>
  <si>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</si>
  <si>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</si>
  <si>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</si>
  <si>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</si>
  <si>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</si>
  <si>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</si>
  <si>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</si>
  <si>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</si>
  <si>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</si>
  <si>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</si>
  <si>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</si>
  <si>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</si>
  <si>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</si>
  <si>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</si>
  <si>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</si>
  <si>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</si>
  <si>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</si>
  <si>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</si>
  <si>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</si>
  <si>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</si>
  <si>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</si>
  <si>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</si>
  <si>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</si>
  <si>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</si>
  <si>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</si>
  <si>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</si>
  <si>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</si>
  <si>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</si>
  <si>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</si>
  <si>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</si>
  <si>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</si>
  <si>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</si>
  <si>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</si>
  <si>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</si>
  <si>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</si>
  <si>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</si>
  <si>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</si>
  <si>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</si>
  <si>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</si>
  <si>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</si>
  <si>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</si>
  <si>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</si>
  <si>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</si>
  <si>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</si>
  <si>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</si>
  <si>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</si>
  <si>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</si>
  <si>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</si>
  <si>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</si>
  <si>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</si>
  <si>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</si>
  <si>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</si>
  <si>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</si>
  <si>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</si>
  <si>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</si>
  <si>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</si>
  <si>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</si>
  <si>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</si>
  <si>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</si>
  <si>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</si>
  <si>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</si>
  <si>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</si>
  <si>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</si>
  <si>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</si>
  <si>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</si>
  <si>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</si>
  <si>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</si>
  <si>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</si>
  <si>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</si>
  <si>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</si>
  <si>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</si>
  <si>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</si>
  <si>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</si>
  <si>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</si>
  <si>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</si>
  <si>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</si>
  <si>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</si>
  <si>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</si>
  <si>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</si>
  <si>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</si>
  <si>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</si>
  <si>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</si>
  <si>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1929.HK</t>
  </si>
  <si>
    <t>周大福</t>
  </si>
  <si>
    <t xml:space="preserve">Superior Cycl. 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</si>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</sst>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0.79501071628968012</c:v>
                </c:pt>
                <c:pt idx="1">
                  <c:v>0.12234231416665901</c:v>
                </c:pt>
                <c:pt idx="2">
                  <c:v>1.3233621247382252E-3</c:v>
                </c:pt>
                <c:pt idx="3">
                  <c:v>0</c:v>
                </c:pt>
                <c:pt idx="4">
                  <c:v>6.4812855868203439E-3</c:v>
                </c:pt>
                <c:pt idx="5">
                  <c:v>0</c:v>
                </c:pt>
                <c:pt idx="6">
                  <c:v>7.4842321832102252E-2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264</v>
      </c>
    </row>
    <row r="5" spans="1:5" ht="13.9" x14ac:dyDescent="0.4">
      <c r="B5" s="141" t="s">
        <v>196</v>
      </c>
      <c r="C5" s="191" t="s">
        <v>265</v>
      </c>
    </row>
    <row r="6" spans="1:5" ht="13.9" x14ac:dyDescent="0.4">
      <c r="B6" s="141" t="s">
        <v>164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266</v>
      </c>
      <c r="E8" s="267"/>
    </row>
    <row r="9" spans="1:5" ht="13.9" x14ac:dyDescent="0.4">
      <c r="B9" s="140" t="s">
        <v>217</v>
      </c>
      <c r="C9" s="192" t="s">
        <v>244</v>
      </c>
    </row>
    <row r="10" spans="1:5" ht="13.9" x14ac:dyDescent="0.4">
      <c r="B10" s="140" t="s">
        <v>218</v>
      </c>
      <c r="C10" s="193">
        <v>9987736800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45381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220</v>
      </c>
      <c r="C14" s="219">
        <v>45381</v>
      </c>
    </row>
    <row r="15" spans="1:5" ht="13.9" x14ac:dyDescent="0.4">
      <c r="B15" s="218" t="s">
        <v>257</v>
      </c>
      <c r="C15" s="176" t="s">
        <v>190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267</v>
      </c>
      <c r="D17" s="24"/>
    </row>
    <row r="18" spans="2:13" ht="13.9" x14ac:dyDescent="0.4">
      <c r="B18" s="240" t="s">
        <v>239</v>
      </c>
      <c r="C18" s="242" t="s">
        <v>247</v>
      </c>
      <c r="D18" s="24"/>
    </row>
    <row r="19" spans="2:13" ht="13.9" x14ac:dyDescent="0.4">
      <c r="B19" s="240" t="s">
        <v>240</v>
      </c>
      <c r="C19" s="242" t="s">
        <v>268</v>
      </c>
      <c r="D19" s="24"/>
    </row>
    <row r="20" spans="2:13" ht="13.9" x14ac:dyDescent="0.4">
      <c r="B20" s="241" t="s">
        <v>229</v>
      </c>
      <c r="C20" s="242" t="s">
        <v>268</v>
      </c>
      <c r="D20" s="24"/>
    </row>
    <row r="21" spans="2:13" ht="13.9" x14ac:dyDescent="0.4">
      <c r="B21" s="224" t="s">
        <v>232</v>
      </c>
      <c r="C21" s="242" t="s">
        <v>267</v>
      </c>
      <c r="D21" s="24"/>
    </row>
    <row r="22" spans="2:13" ht="78.75" x14ac:dyDescent="0.4">
      <c r="B22" s="226" t="s">
        <v>231</v>
      </c>
      <c r="C22" s="243" t="s">
        <v>269</v>
      </c>
      <c r="D22" s="24"/>
    </row>
    <row r="24" spans="2:13" ht="13.9" x14ac:dyDescent="0.4">
      <c r="B24" s="115" t="s">
        <v>134</v>
      </c>
      <c r="C24" s="48">
        <f>C12</f>
        <v>45381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49">
        <v>108713</v>
      </c>
      <c r="D25" s="149">
        <v>94684.4</v>
      </c>
      <c r="E25" s="149">
        <v>98937.7</v>
      </c>
      <c r="F25" s="149">
        <v>70163.8</v>
      </c>
      <c r="G25" s="149">
        <v>56750.8</v>
      </c>
      <c r="H25" s="149">
        <v>66660.899999999994</v>
      </c>
      <c r="I25" s="149">
        <v>59156.4</v>
      </c>
      <c r="J25" s="149">
        <v>51245.5</v>
      </c>
      <c r="K25" s="149"/>
      <c r="L25" s="149"/>
      <c r="M25" s="149"/>
    </row>
    <row r="26" spans="2:13" ht="13.9" x14ac:dyDescent="0.4">
      <c r="B26" s="97" t="s">
        <v>106</v>
      </c>
      <c r="C26" s="150">
        <v>86428</v>
      </c>
      <c r="D26" s="150">
        <v>73512.899999999994</v>
      </c>
      <c r="E26" s="150">
        <v>76598</v>
      </c>
      <c r="F26" s="150">
        <v>50089.1</v>
      </c>
      <c r="G26" s="150">
        <v>40654.6</v>
      </c>
      <c r="H26" s="150">
        <v>48059.1</v>
      </c>
      <c r="I26" s="150">
        <v>42943</v>
      </c>
      <c r="J26" s="150">
        <v>36282.800000000003</v>
      </c>
      <c r="K26" s="150"/>
      <c r="L26" s="150"/>
      <c r="M26" s="150"/>
    </row>
    <row r="27" spans="2:13" ht="13.9" x14ac:dyDescent="0.4">
      <c r="B27" s="97" t="s">
        <v>104</v>
      </c>
      <c r="C27" s="150">
        <v>13300.2</v>
      </c>
      <c r="D27" s="150">
        <v>13695.699999999999</v>
      </c>
      <c r="E27" s="150">
        <v>14003.8</v>
      </c>
      <c r="F27" s="150">
        <v>11888.399999999998</v>
      </c>
      <c r="G27" s="150">
        <v>11596.6</v>
      </c>
      <c r="H27" s="150">
        <v>12064.3</v>
      </c>
      <c r="I27" s="150">
        <v>10960.1</v>
      </c>
      <c r="J27" s="150">
        <v>10347.099999999999</v>
      </c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704.6</v>
      </c>
      <c r="D29" s="150">
        <v>585.4</v>
      </c>
      <c r="E29" s="150">
        <v>337.7</v>
      </c>
      <c r="F29" s="150">
        <v>376</v>
      </c>
      <c r="G29" s="150">
        <v>559.6</v>
      </c>
      <c r="H29" s="150">
        <v>370.3</v>
      </c>
      <c r="I29" s="150">
        <v>243.7</v>
      </c>
      <c r="J29" s="150">
        <v>236.6</v>
      </c>
      <c r="K29" s="150"/>
      <c r="L29" s="150"/>
      <c r="M29" s="150"/>
    </row>
    <row r="30" spans="2:13" ht="13.9" x14ac:dyDescent="0.4">
      <c r="B30" s="99" t="s">
        <v>111</v>
      </c>
      <c r="C30" s="150">
        <v>107.9</v>
      </c>
      <c r="D30" s="150">
        <v>105.1</v>
      </c>
      <c r="E30" s="150">
        <v>167.6</v>
      </c>
      <c r="F30" s="150">
        <v>149.69999999999999</v>
      </c>
      <c r="G30" s="150">
        <v>82.1</v>
      </c>
      <c r="H30" s="150">
        <v>107.2</v>
      </c>
      <c r="I30" s="150">
        <v>108.4</v>
      </c>
      <c r="J30" s="150">
        <v>95.8</v>
      </c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0.3+0.25</f>
        <v>0.55000000000000004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8.1723625557206539E-2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251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7">
        <v>5</v>
      </c>
    </row>
    <row r="87" spans="2:8" ht="13.9" x14ac:dyDescent="0.4">
      <c r="B87" s="10" t="s">
        <v>250</v>
      </c>
      <c r="C87" s="236" t="s">
        <v>270</v>
      </c>
      <c r="D87" s="269">
        <v>0.02</v>
      </c>
    </row>
    <row r="89" spans="2:8" ht="13.5" x14ac:dyDescent="0.35">
      <c r="B89" s="106" t="s">
        <v>128</v>
      </c>
      <c r="C89" s="271">
        <f>C24</f>
        <v>45381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108713</v>
      </c>
      <c r="D91" s="209"/>
      <c r="E91" s="251">
        <f>C91</f>
        <v>108713</v>
      </c>
      <c r="F91" s="251">
        <f>C91</f>
        <v>108713</v>
      </c>
    </row>
    <row r="92" spans="2:8" ht="13.9" x14ac:dyDescent="0.4">
      <c r="B92" s="104" t="s">
        <v>106</v>
      </c>
      <c r="C92" s="77">
        <f>C26</f>
        <v>86428</v>
      </c>
      <c r="D92" s="159">
        <f>C92/C91</f>
        <v>0.79501071628968012</v>
      </c>
      <c r="E92" s="252">
        <f>E91*D92</f>
        <v>86428</v>
      </c>
      <c r="F92" s="252">
        <f>F91*D92</f>
        <v>86428</v>
      </c>
    </row>
    <row r="93" spans="2:8" ht="13.9" x14ac:dyDescent="0.4">
      <c r="B93" s="104" t="s">
        <v>249</v>
      </c>
      <c r="C93" s="77">
        <f>C27+C28</f>
        <v>13300.2</v>
      </c>
      <c r="D93" s="159">
        <f>C93/C91</f>
        <v>0.12234231416665901</v>
      </c>
      <c r="E93" s="252">
        <f>E91*D93</f>
        <v>13300.2</v>
      </c>
      <c r="F93" s="252">
        <f>F91*D93</f>
        <v>13300.2</v>
      </c>
    </row>
    <row r="94" spans="2:8" ht="13.9" x14ac:dyDescent="0.4">
      <c r="B94" s="104" t="s">
        <v>258</v>
      </c>
      <c r="C94" s="77">
        <f>C29</f>
        <v>704.6</v>
      </c>
      <c r="D94" s="159">
        <f>C94/C91</f>
        <v>6.4812855868203439E-3</v>
      </c>
      <c r="E94" s="253"/>
      <c r="F94" s="252">
        <f>F91*D94</f>
        <v>704.6</v>
      </c>
    </row>
    <row r="95" spans="2:8" ht="13.9" x14ac:dyDescent="0.4">
      <c r="B95" s="28" t="s">
        <v>248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143.86666666666667</v>
      </c>
      <c r="D97" s="159">
        <f>C97/C91</f>
        <v>1.3233621247382252E-3</v>
      </c>
      <c r="E97" s="253"/>
      <c r="F97" s="252">
        <f>F91*D97</f>
        <v>143.86666666666667</v>
      </c>
    </row>
    <row r="98" spans="2:7" ht="13.9" x14ac:dyDescent="0.4">
      <c r="B98" s="86" t="s">
        <v>208</v>
      </c>
      <c r="C98" s="237">
        <f>C44</f>
        <v>0.55000000000000004</v>
      </c>
      <c r="D98" s="266"/>
      <c r="E98" s="254">
        <f>F98*0.8</f>
        <v>0.44000000000000006</v>
      </c>
      <c r="F98" s="254">
        <f>C98</f>
        <v>0.55000000000000004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1929.HK : 周大福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1929.HK</v>
      </c>
      <c r="D3" s="278"/>
      <c r="E3" s="87"/>
      <c r="F3" s="3" t="s">
        <v>1</v>
      </c>
      <c r="G3" s="132">
        <v>6.73</v>
      </c>
      <c r="H3" s="134" t="s">
        <v>271</v>
      </c>
    </row>
    <row r="4" spans="1:10" ht="15.75" customHeight="1" x14ac:dyDescent="0.4">
      <c r="B4" s="35" t="s">
        <v>196</v>
      </c>
      <c r="C4" s="279" t="str">
        <f>Inputs!C5</f>
        <v>周大福</v>
      </c>
      <c r="D4" s="280"/>
      <c r="E4" s="87"/>
      <c r="F4" s="3" t="s">
        <v>3</v>
      </c>
      <c r="G4" s="283">
        <f>Inputs!C10</f>
        <v>9987736800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45593</v>
      </c>
      <c r="D5" s="282"/>
      <c r="E5" s="34"/>
      <c r="F5" s="35" t="s">
        <v>100</v>
      </c>
      <c r="G5" s="275">
        <f>G3*G4/1000000</f>
        <v>67217.468664000015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45626</v>
      </c>
      <c r="E6" s="51">
        <f>IF(Fin_Analysis!E9="FY",Fin_Analysis!D9,Data!C3)</f>
        <v>45381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 xml:space="preserve">Superior Cycl. 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0.79501071628968012</v>
      </c>
      <c r="F20" s="87" t="s">
        <v>212</v>
      </c>
      <c r="G20" s="172">
        <v>0.15</v>
      </c>
    </row>
    <row r="21" spans="1:8" ht="15.75" customHeight="1" x14ac:dyDescent="0.4">
      <c r="B21" s="137" t="s">
        <v>246</v>
      </c>
      <c r="C21" s="171">
        <f>Fin_Analysis!I77</f>
        <v>0.12234231416665901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1.3233621247382252E-3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6.4812855868203439E-3</v>
      </c>
      <c r="F24" s="140" t="s">
        <v>260</v>
      </c>
      <c r="G24" s="268">
        <f>G3/(Fin_Analysis!H86*G7)</f>
        <v>11.015194176574218</v>
      </c>
    </row>
    <row r="25" spans="1:8" ht="15.75" customHeight="1" x14ac:dyDescent="0.4">
      <c r="B25" s="137" t="s">
        <v>245</v>
      </c>
      <c r="C25" s="171">
        <f>Fin_Analysis!I82</f>
        <v>0</v>
      </c>
      <c r="F25" s="140" t="s">
        <v>175</v>
      </c>
      <c r="G25" s="171">
        <f>Fin_Analysis!I88</f>
        <v>0.90020160432627339</v>
      </c>
    </row>
    <row r="26" spans="1:8" ht="15.75" customHeight="1" x14ac:dyDescent="0.4">
      <c r="B26" s="138" t="s">
        <v>174</v>
      </c>
      <c r="C26" s="171">
        <f>Fin_Analysis!I83</f>
        <v>7.4842321832102252E-2</v>
      </c>
      <c r="F26" s="141" t="s">
        <v>194</v>
      </c>
      <c r="G26" s="178">
        <f>Fin_Analysis!H88*Exchange_Rate/G3</f>
        <v>8.1723625557206539E-2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4.9440253185818017</v>
      </c>
      <c r="D29" s="129">
        <f>G29*(1+G20)</f>
        <v>10.486131523329432</v>
      </c>
      <c r="E29" s="87"/>
      <c r="F29" s="131">
        <f>IF(Fin_Analysis!C108="Profit",Fin_Analysis!F100,IF(Fin_Analysis!C108="Dividend",Fin_Analysis!F103,Fin_Analysis!F106))</f>
        <v>5.8165003748021196</v>
      </c>
      <c r="G29" s="274">
        <f>IF(Fin_Analysis!C108="Profit",Fin_Analysis!I100,IF(Fin_Analysis!C108="Dividend",Fin_Analysis!I103,Fin_Analysis!I106))</f>
        <v>9.1183752376777676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45381</v>
      </c>
      <c r="E3" s="146" t="s">
        <v>201</v>
      </c>
      <c r="F3" s="85">
        <f>H14</f>
        <v>6394.566666666663</v>
      </c>
      <c r="G3" s="85">
        <f>C14</f>
        <v>8840.9333333333325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202</v>
      </c>
      <c r="F4" s="93">
        <f>(G3/F3)^(1/H3)-1</f>
        <v>5.5474712364703915E-2</v>
      </c>
      <c r="J4" s="87"/>
    </row>
    <row r="5" spans="1:14" ht="15.75" customHeight="1" x14ac:dyDescent="0.4">
      <c r="A5" s="16"/>
      <c r="B5" s="115" t="s">
        <v>134</v>
      </c>
      <c r="C5" s="48">
        <f>C3</f>
        <v>45381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0">
        <f>IF(Inputs!C25=""," ",Inputs!C25)</f>
        <v>108713</v>
      </c>
      <c r="D6" s="200">
        <f>IF(Inputs!D25="","",Inputs!D25)</f>
        <v>94684.4</v>
      </c>
      <c r="E6" s="200">
        <f>IF(Inputs!E25="","",Inputs!E25)</f>
        <v>98937.7</v>
      </c>
      <c r="F6" s="200">
        <f>IF(Inputs!F25="","",Inputs!F25)</f>
        <v>70163.8</v>
      </c>
      <c r="G6" s="200">
        <f>IF(Inputs!G25="","",Inputs!G25)</f>
        <v>56750.8</v>
      </c>
      <c r="H6" s="200">
        <f>IF(Inputs!H25="","",Inputs!H25)</f>
        <v>66660.899999999994</v>
      </c>
      <c r="I6" s="200">
        <f>IF(Inputs!I25="","",Inputs!I25)</f>
        <v>59156.4</v>
      </c>
      <c r="J6" s="200">
        <f>IF(Inputs!J25="","",Inputs!J25)</f>
        <v>51245.5</v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0.14816168238907368</v>
      </c>
      <c r="D7" s="92">
        <f t="shared" si="1"/>
        <v>-4.2989679363882538E-2</v>
      </c>
      <c r="E7" s="92">
        <f t="shared" si="1"/>
        <v>0.41009608943643294</v>
      </c>
      <c r="F7" s="92">
        <f t="shared" si="1"/>
        <v>0.23634909111413416</v>
      </c>
      <c r="G7" s="92">
        <f t="shared" si="1"/>
        <v>-0.14866435946709378</v>
      </c>
      <c r="H7" s="92">
        <f t="shared" si="1"/>
        <v>0.12685863237113804</v>
      </c>
      <c r="I7" s="92">
        <f t="shared" si="1"/>
        <v>0.15437257905572199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86428</v>
      </c>
      <c r="D8" s="199">
        <f>IF(Inputs!D26="","",Inputs!D26)</f>
        <v>73512.899999999994</v>
      </c>
      <c r="E8" s="199">
        <f>IF(Inputs!E26="","",Inputs!E26)</f>
        <v>76598</v>
      </c>
      <c r="F8" s="199">
        <f>IF(Inputs!F26="","",Inputs!F26)</f>
        <v>50089.1</v>
      </c>
      <c r="G8" s="199">
        <f>IF(Inputs!G26="","",Inputs!G26)</f>
        <v>40654.6</v>
      </c>
      <c r="H8" s="199">
        <f>IF(Inputs!H26="","",Inputs!H26)</f>
        <v>48059.1</v>
      </c>
      <c r="I8" s="199">
        <f>IF(Inputs!I26="","",Inputs!I26)</f>
        <v>42943</v>
      </c>
      <c r="J8" s="199">
        <f>IF(Inputs!J26="","",Inputs!J26)</f>
        <v>36282.800000000003</v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22285</v>
      </c>
      <c r="D9" s="151">
        <f t="shared" si="2"/>
        <v>21171.5</v>
      </c>
      <c r="E9" s="151">
        <f t="shared" si="2"/>
        <v>22339.699999999997</v>
      </c>
      <c r="F9" s="151">
        <f t="shared" si="2"/>
        <v>20074.700000000004</v>
      </c>
      <c r="G9" s="151">
        <f t="shared" si="2"/>
        <v>16096.200000000004</v>
      </c>
      <c r="H9" s="151">
        <f t="shared" si="2"/>
        <v>18601.799999999996</v>
      </c>
      <c r="I9" s="151">
        <f t="shared" si="2"/>
        <v>16213.400000000001</v>
      </c>
      <c r="J9" s="151">
        <f t="shared" si="2"/>
        <v>14962.699999999997</v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13300.2</v>
      </c>
      <c r="D10" s="199">
        <f>IF(Inputs!D27="","",Inputs!D27)</f>
        <v>13695.699999999999</v>
      </c>
      <c r="E10" s="199">
        <f>IF(Inputs!E27="","",Inputs!E27)</f>
        <v>14003.8</v>
      </c>
      <c r="F10" s="199">
        <f>IF(Inputs!F27="","",Inputs!F27)</f>
        <v>11888.399999999998</v>
      </c>
      <c r="G10" s="199">
        <f>IF(Inputs!G27="","",Inputs!G27)</f>
        <v>11596.6</v>
      </c>
      <c r="H10" s="199">
        <f>IF(Inputs!H27="","",Inputs!H27)</f>
        <v>12064.3</v>
      </c>
      <c r="I10" s="199">
        <f>IF(Inputs!I27="","",Inputs!I27)</f>
        <v>10960.1</v>
      </c>
      <c r="J10" s="199">
        <f>IF(Inputs!J27="","",Inputs!J27)</f>
        <v>10347.099999999999</v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143.86666666666667</v>
      </c>
      <c r="D12" s="199">
        <f>IF(Inputs!D30="","",MAX(Inputs!D30,0)/(1-Fin_Analysis!$I$84))</f>
        <v>140.13333333333333</v>
      </c>
      <c r="E12" s="199">
        <f>IF(Inputs!E30="","",MAX(Inputs!E30,0)/(1-Fin_Analysis!$I$84))</f>
        <v>223.46666666666667</v>
      </c>
      <c r="F12" s="199">
        <f>IF(Inputs!F30="","",MAX(Inputs!F30,0)/(1-Fin_Analysis!$I$84))</f>
        <v>199.6</v>
      </c>
      <c r="G12" s="199">
        <f>IF(Inputs!G30="","",MAX(Inputs!G30,0)/(1-Fin_Analysis!$I$84))</f>
        <v>109.46666666666665</v>
      </c>
      <c r="H12" s="199">
        <f>IF(Inputs!H30="","",MAX(Inputs!H30,0)/(1-Fin_Analysis!$I$84))</f>
        <v>142.93333333333334</v>
      </c>
      <c r="I12" s="199">
        <f>IF(Inputs!I30="","",MAX(Inputs!I30,0)/(1-Fin_Analysis!$I$84))</f>
        <v>144.53333333333333</v>
      </c>
      <c r="J12" s="199">
        <f>IF(Inputs!J30="","",MAX(Inputs!J30,0)/(1-Fin_Analysis!$I$84))</f>
        <v>127.73333333333333</v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8.1323607418922597E-2</v>
      </c>
      <c r="D13" s="229">
        <f t="shared" si="3"/>
        <v>7.7474923711473784E-2</v>
      </c>
      <c r="E13" s="229">
        <f t="shared" si="3"/>
        <v>8.1995370150441463E-2</v>
      </c>
      <c r="F13" s="229">
        <f t="shared" si="3"/>
        <v>0.11382935359829437</v>
      </c>
      <c r="G13" s="229">
        <f t="shared" si="3"/>
        <v>7.7358087169402678E-2</v>
      </c>
      <c r="H13" s="229">
        <f t="shared" si="3"/>
        <v>9.5926797667998234E-2</v>
      </c>
      <c r="I13" s="229">
        <f t="shared" si="3"/>
        <v>8.6360337455738803E-2</v>
      </c>
      <c r="J13" s="229">
        <f t="shared" si="3"/>
        <v>8.7575819665466528E-2</v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8840.9333333333325</v>
      </c>
      <c r="D14" s="230">
        <f t="shared" ref="D14:M14" si="4">IF(D6="","",D9-D10-MAX(D11,0)-MAX(D12,0))</f>
        <v>7335.6666666666679</v>
      </c>
      <c r="E14" s="230">
        <f t="shared" si="4"/>
        <v>8112.4333333333316</v>
      </c>
      <c r="F14" s="230">
        <f t="shared" si="4"/>
        <v>7986.7000000000062</v>
      </c>
      <c r="G14" s="230">
        <f t="shared" si="4"/>
        <v>4390.1333333333378</v>
      </c>
      <c r="H14" s="230">
        <f t="shared" si="4"/>
        <v>6394.566666666663</v>
      </c>
      <c r="I14" s="230">
        <f t="shared" si="4"/>
        <v>5108.7666666666673</v>
      </c>
      <c r="J14" s="230">
        <f t="shared" si="4"/>
        <v>4487.866666666665</v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0.20519834598082398</v>
      </c>
      <c r="D15" s="232">
        <f t="shared" ref="D15:M15" si="5">IF(E14="","",IF(ABS(D14+E14)=ABS(D14)+ABS(E14),IF(D14&lt;0,-1,1)*(D14-E14)/E14,"Turn"))</f>
        <v>-9.5750144839402543E-2</v>
      </c>
      <c r="E15" s="232">
        <f t="shared" si="5"/>
        <v>1.5742839136730476E-2</v>
      </c>
      <c r="F15" s="232">
        <f t="shared" si="5"/>
        <v>0.8192385956387046</v>
      </c>
      <c r="G15" s="232">
        <f t="shared" si="5"/>
        <v>-0.31345882181226664</v>
      </c>
      <c r="H15" s="232">
        <f t="shared" si="5"/>
        <v>0.25168501203812965</v>
      </c>
      <c r="I15" s="232">
        <f t="shared" si="5"/>
        <v>0.1383508125612769</v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704.6</v>
      </c>
      <c r="D17" s="199">
        <f>IF(Inputs!D29="","",Inputs!D29)</f>
        <v>585.4</v>
      </c>
      <c r="E17" s="199">
        <f>IF(Inputs!E29="","",Inputs!E29)</f>
        <v>337.7</v>
      </c>
      <c r="F17" s="199">
        <f>IF(Inputs!F29="","",Inputs!F29)</f>
        <v>376</v>
      </c>
      <c r="G17" s="199">
        <f>IF(Inputs!G29="","",Inputs!G29)</f>
        <v>559.6</v>
      </c>
      <c r="H17" s="199">
        <f>IF(Inputs!H29="","",Inputs!H29)</f>
        <v>370.3</v>
      </c>
      <c r="I17" s="199">
        <f>IF(Inputs!I29="","",Inputs!I29)</f>
        <v>243.7</v>
      </c>
      <c r="J17" s="199">
        <f>IF(Inputs!J29="","",Inputs!J29)</f>
        <v>236.6</v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si="7"/>
        <v>0</v>
      </c>
      <c r="I20" s="152">
        <f t="shared" si="7"/>
        <v>0</v>
      </c>
      <c r="J20" s="152">
        <f t="shared" si="7"/>
        <v>0</v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8136.3333333333321</v>
      </c>
      <c r="D22" s="161">
        <f t="shared" ref="D22:M22" si="8">IF(D6="","",D14-MAX(D16,0)-MAX(D17,0)-ABS(MAX(D21,0)-MAX(D19,0)))</f>
        <v>6750.2666666666682</v>
      </c>
      <c r="E22" s="161">
        <f t="shared" si="8"/>
        <v>7774.7333333333318</v>
      </c>
      <c r="F22" s="161">
        <f t="shared" si="8"/>
        <v>7610.7000000000062</v>
      </c>
      <c r="G22" s="161">
        <f t="shared" si="8"/>
        <v>3830.5333333333379</v>
      </c>
      <c r="H22" s="161">
        <f t="shared" si="8"/>
        <v>6024.2666666666628</v>
      </c>
      <c r="I22" s="161">
        <f t="shared" si="8"/>
        <v>4865.0666666666675</v>
      </c>
      <c r="J22" s="161">
        <f t="shared" si="8"/>
        <v>4251.2666666666646</v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5.6131741374076692E-2</v>
      </c>
      <c r="D23" s="153">
        <f t="shared" si="9"/>
        <v>5.346920928896419E-2</v>
      </c>
      <c r="E23" s="153">
        <f t="shared" si="9"/>
        <v>5.8936583324657836E-2</v>
      </c>
      <c r="F23" s="153">
        <f t="shared" si="9"/>
        <v>8.1352848619943685E-2</v>
      </c>
      <c r="G23" s="153">
        <f t="shared" si="9"/>
        <v>5.0623074917005628E-2</v>
      </c>
      <c r="H23" s="153">
        <f t="shared" si="9"/>
        <v>6.7778862871638354E-2</v>
      </c>
      <c r="I23" s="153">
        <f t="shared" si="9"/>
        <v>6.1680562035553221E-2</v>
      </c>
      <c r="J23" s="153">
        <f t="shared" si="9"/>
        <v>6.2219121678976662E-2</v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6102.2499999999991</v>
      </c>
      <c r="D24" s="77">
        <f>IF(D6="","",D22*(1-Fin_Analysis!$I$84))</f>
        <v>5062.7000000000007</v>
      </c>
      <c r="E24" s="77">
        <f>IF(E6="","",E22*(1-Fin_Analysis!$I$84))</f>
        <v>5831.0499999999993</v>
      </c>
      <c r="F24" s="77">
        <f>IF(F6="","",F22*(1-Fin_Analysis!$I$84))</f>
        <v>5708.0250000000051</v>
      </c>
      <c r="G24" s="77">
        <f>IF(G6="","",G22*(1-Fin_Analysis!$I$84))</f>
        <v>2872.9000000000033</v>
      </c>
      <c r="H24" s="77">
        <f>IF(H6="","",H22*(1-Fin_Analysis!$I$84))</f>
        <v>4518.1999999999971</v>
      </c>
      <c r="I24" s="77">
        <f>IF(I6="","",I22*(1-Fin_Analysis!$I$84))</f>
        <v>3648.8000000000006</v>
      </c>
      <c r="J24" s="77">
        <f>IF(J6="","",J22*(1-Fin_Analysis!$I$84))</f>
        <v>3188.4499999999985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0.20533509787267629</v>
      </c>
      <c r="D25" s="233">
        <f t="shared" ref="D25:M25" si="10">IF(E24="","",IF(ABS(D24+E24)=ABS(D24)+ABS(E24),IF(D24&lt;0,-1,1)*(D24-E24)/E24,"Turn"))</f>
        <v>-0.13176872089932321</v>
      </c>
      <c r="E25" s="233">
        <f t="shared" si="10"/>
        <v>2.1552988993565038E-2</v>
      </c>
      <c r="F25" s="233">
        <f t="shared" si="10"/>
        <v>0.98685126527202427</v>
      </c>
      <c r="G25" s="233">
        <f t="shared" si="10"/>
        <v>-0.36414944004249367</v>
      </c>
      <c r="H25" s="233">
        <f t="shared" si="10"/>
        <v>0.23827011620258615</v>
      </c>
      <c r="I25" s="233">
        <f t="shared" si="10"/>
        <v>0.14438049836127348</v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45381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0.79501071628968012</v>
      </c>
      <c r="D42" s="156">
        <f t="shared" si="34"/>
        <v>0.77639928013484794</v>
      </c>
      <c r="E42" s="156">
        <f t="shared" si="34"/>
        <v>0.77420437305496292</v>
      </c>
      <c r="F42" s="156">
        <f t="shared" si="34"/>
        <v>0.71388807333696291</v>
      </c>
      <c r="G42" s="156">
        <f t="shared" si="34"/>
        <v>0.71637051812485453</v>
      </c>
      <c r="H42" s="156">
        <f t="shared" si="34"/>
        <v>0.72094886207656972</v>
      </c>
      <c r="I42" s="156">
        <f t="shared" si="34"/>
        <v>0.72592314610084452</v>
      </c>
      <c r="J42" s="156">
        <f t="shared" si="34"/>
        <v>0.70801924071381883</v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0.12234231416665901</v>
      </c>
      <c r="D43" s="153">
        <f t="shared" si="35"/>
        <v>0.14464579170380759</v>
      </c>
      <c r="E43" s="153">
        <f t="shared" si="35"/>
        <v>0.14154159637832697</v>
      </c>
      <c r="F43" s="153">
        <f t="shared" si="35"/>
        <v>0.16943780125933883</v>
      </c>
      <c r="G43" s="153">
        <f t="shared" si="35"/>
        <v>0.20434249385030695</v>
      </c>
      <c r="H43" s="153">
        <f t="shared" si="35"/>
        <v>0.18098015478338877</v>
      </c>
      <c r="I43" s="153">
        <f t="shared" si="35"/>
        <v>0.18527327558810205</v>
      </c>
      <c r="J43" s="153">
        <f t="shared" si="35"/>
        <v>0.20191236303675442</v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>
        <f t="shared" si="36"/>
        <v>0</v>
      </c>
      <c r="J44" s="153">
        <f t="shared" si="36"/>
        <v>0</v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6.4812855868203439E-3</v>
      </c>
      <c r="D45" s="153">
        <f t="shared" si="37"/>
        <v>6.1826446595215261E-3</v>
      </c>
      <c r="E45" s="153">
        <f t="shared" si="37"/>
        <v>3.4132590508976859E-3</v>
      </c>
      <c r="F45" s="153">
        <f t="shared" si="37"/>
        <v>5.3588887717027868E-3</v>
      </c>
      <c r="G45" s="153">
        <f t="shared" si="37"/>
        <v>9.8606539467285034E-3</v>
      </c>
      <c r="H45" s="153">
        <f t="shared" si="37"/>
        <v>5.5549805058137539E-3</v>
      </c>
      <c r="I45" s="153">
        <f t="shared" si="37"/>
        <v>4.1195880750011828E-3</v>
      </c>
      <c r="J45" s="153">
        <f t="shared" si="37"/>
        <v>4.616990760164307E-3</v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1.3233621247382252E-3</v>
      </c>
      <c r="D46" s="153">
        <f t="shared" ref="D46:M46" si="38">IF(D6="","",MAX(D12,0)/D6)</f>
        <v>1.4800044498706581E-3</v>
      </c>
      <c r="E46" s="153">
        <f t="shared" si="38"/>
        <v>2.2586604162686892E-3</v>
      </c>
      <c r="F46" s="153">
        <f t="shared" si="38"/>
        <v>2.8447718054039261E-3</v>
      </c>
      <c r="G46" s="153">
        <f t="shared" si="38"/>
        <v>1.9289008554358115E-3</v>
      </c>
      <c r="H46" s="153">
        <f t="shared" si="38"/>
        <v>2.1441854720433318E-3</v>
      </c>
      <c r="I46" s="153">
        <f t="shared" si="38"/>
        <v>2.4432408553146123E-3</v>
      </c>
      <c r="J46" s="153">
        <f t="shared" si="38"/>
        <v>2.4925765839602177E-3</v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>
        <f t="shared" si="39"/>
        <v>0</v>
      </c>
      <c r="I47" s="153">
        <f t="shared" si="39"/>
        <v>0</v>
      </c>
      <c r="J47" s="153">
        <f t="shared" si="39"/>
        <v>0</v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7.4842321832102252E-2</v>
      </c>
      <c r="D48" s="153">
        <f t="shared" si="40"/>
        <v>7.1292279051952262E-2</v>
      </c>
      <c r="E48" s="153">
        <f t="shared" si="40"/>
        <v>7.8582111099543772E-2</v>
      </c>
      <c r="F48" s="153">
        <f t="shared" si="40"/>
        <v>0.10847046482659158</v>
      </c>
      <c r="G48" s="153">
        <f t="shared" si="40"/>
        <v>6.749743322267418E-2</v>
      </c>
      <c r="H48" s="153">
        <f t="shared" si="40"/>
        <v>9.0371817162184481E-2</v>
      </c>
      <c r="I48" s="153">
        <f t="shared" si="40"/>
        <v>8.2240749380737624E-2</v>
      </c>
      <c r="J48" s="153">
        <f t="shared" si="40"/>
        <v>8.295882890530222E-2</v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e">
        <f t="shared" si="43"/>
        <v>#VALUE!</v>
      </c>
      <c r="F52" s="153" t="e">
        <f t="shared" si="43"/>
        <v>#VALUE!</v>
      </c>
      <c r="G52" s="153" t="e">
        <f t="shared" si="43"/>
        <v>#VALUE!</v>
      </c>
      <c r="H52" s="153" t="e">
        <f t="shared" si="43"/>
        <v>#VALUE!</v>
      </c>
      <c r="I52" s="153" t="e">
        <f t="shared" si="43"/>
        <v>#VALUE!</v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>
        <f t="shared" ref="C56:M56" si="46">IF(C22="","",IF(MAX(C17,0)&lt;=0,"-",C17/C22))</f>
        <v>8.6599205211192604E-2</v>
      </c>
      <c r="D56" s="153">
        <f t="shared" si="46"/>
        <v>8.6722499851857676E-2</v>
      </c>
      <c r="E56" s="153">
        <f t="shared" si="46"/>
        <v>4.3435573352998177E-2</v>
      </c>
      <c r="F56" s="153">
        <f t="shared" si="46"/>
        <v>4.9404128398176213E-2</v>
      </c>
      <c r="G56" s="153">
        <f t="shared" si="46"/>
        <v>0.1460893174144591</v>
      </c>
      <c r="H56" s="153">
        <f t="shared" si="46"/>
        <v>6.1468062502766631E-2</v>
      </c>
      <c r="I56" s="153">
        <f t="shared" si="46"/>
        <v>5.009181100635824E-2</v>
      </c>
      <c r="J56" s="153">
        <f t="shared" si="46"/>
        <v>5.5654001160438483E-2</v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45381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45381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108713</v>
      </c>
      <c r="D74" s="209"/>
      <c r="E74" s="238">
        <f>Inputs!E91</f>
        <v>108713</v>
      </c>
      <c r="F74" s="209"/>
      <c r="H74" s="238">
        <f>Inputs!F91</f>
        <v>108713</v>
      </c>
      <c r="I74" s="209"/>
      <c r="K74" s="24"/>
    </row>
    <row r="75" spans="1:11" ht="15" customHeight="1" x14ac:dyDescent="0.4">
      <c r="B75" s="104" t="s">
        <v>106</v>
      </c>
      <c r="C75" s="77">
        <f>Data!C8</f>
        <v>86428</v>
      </c>
      <c r="D75" s="159">
        <f>C75/$C$74</f>
        <v>0.79501071628968012</v>
      </c>
      <c r="E75" s="238">
        <f>Inputs!E92</f>
        <v>86428</v>
      </c>
      <c r="F75" s="160">
        <f>E75/E74</f>
        <v>0.79501071628968012</v>
      </c>
      <c r="H75" s="238">
        <f>Inputs!F92</f>
        <v>86428</v>
      </c>
      <c r="I75" s="160">
        <f>H75/$H$74</f>
        <v>0.79501071628968012</v>
      </c>
      <c r="K75" s="24"/>
    </row>
    <row r="76" spans="1:11" ht="15" customHeight="1" x14ac:dyDescent="0.4">
      <c r="B76" s="35" t="s">
        <v>96</v>
      </c>
      <c r="C76" s="161">
        <f>C74-C75</f>
        <v>22285</v>
      </c>
      <c r="D76" s="210"/>
      <c r="E76" s="162">
        <f>E74-E75</f>
        <v>22285</v>
      </c>
      <c r="F76" s="210"/>
      <c r="H76" s="162">
        <f>H74-H75</f>
        <v>22285</v>
      </c>
      <c r="I76" s="210"/>
      <c r="K76" s="24"/>
    </row>
    <row r="77" spans="1:11" ht="15" customHeight="1" x14ac:dyDescent="0.4">
      <c r="B77" s="104" t="s">
        <v>249</v>
      </c>
      <c r="C77" s="77">
        <f>Data!C10+MAX(Data!C11,0)</f>
        <v>13300.2</v>
      </c>
      <c r="D77" s="159">
        <f>C77/$C$74</f>
        <v>0.12234231416665901</v>
      </c>
      <c r="E77" s="238">
        <f>Inputs!E93</f>
        <v>13300.2</v>
      </c>
      <c r="F77" s="160">
        <f>E77/E74</f>
        <v>0.12234231416665901</v>
      </c>
      <c r="H77" s="238">
        <f>Inputs!F93</f>
        <v>13300.2</v>
      </c>
      <c r="I77" s="160">
        <f>H77/$H$74</f>
        <v>0.12234231416665901</v>
      </c>
      <c r="K77" s="24"/>
    </row>
    <row r="78" spans="1:11" ht="15" customHeight="1" x14ac:dyDescent="0.4">
      <c r="B78" s="73" t="s">
        <v>173</v>
      </c>
      <c r="C78" s="77">
        <f>MAX(Data!C12,0)</f>
        <v>143.86666666666667</v>
      </c>
      <c r="D78" s="159">
        <f>C78/$C$74</f>
        <v>1.3233621247382252E-3</v>
      </c>
      <c r="E78" s="180">
        <f>E74*F78</f>
        <v>143.86666666666667</v>
      </c>
      <c r="F78" s="160">
        <f>I78</f>
        <v>1.3233621247382252E-3</v>
      </c>
      <c r="H78" s="238">
        <f>Inputs!F97</f>
        <v>143.86666666666667</v>
      </c>
      <c r="I78" s="160">
        <f>H78/$H$74</f>
        <v>1.3233621247382252E-3</v>
      </c>
      <c r="K78" s="24"/>
    </row>
    <row r="79" spans="1:11" ht="15" customHeight="1" x14ac:dyDescent="0.4">
      <c r="B79" s="256" t="s">
        <v>233</v>
      </c>
      <c r="C79" s="257">
        <f>C76-C77-C78</f>
        <v>8840.9333333333325</v>
      </c>
      <c r="D79" s="258">
        <f>C79/C74</f>
        <v>8.1323607418922597E-2</v>
      </c>
      <c r="E79" s="259">
        <f>E76-E77-E78</f>
        <v>8840.9333333333325</v>
      </c>
      <c r="F79" s="258">
        <f>E79/E74</f>
        <v>8.1323607418922597E-2</v>
      </c>
      <c r="G79" s="260"/>
      <c r="H79" s="259">
        <f>H76-H77-H78</f>
        <v>8840.9333333333325</v>
      </c>
      <c r="I79" s="258">
        <f>H79/H74</f>
        <v>8.1323607418922597E-2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704.6</v>
      </c>
      <c r="D81" s="159">
        <f>C81/$C$74</f>
        <v>6.4812855868203439E-3</v>
      </c>
      <c r="E81" s="180">
        <f>E74*F81</f>
        <v>704.6</v>
      </c>
      <c r="F81" s="160">
        <f>I81</f>
        <v>6.4812855868203439E-3</v>
      </c>
      <c r="H81" s="238">
        <f>Inputs!F94</f>
        <v>704.6</v>
      </c>
      <c r="I81" s="160">
        <f>H81/$H$74</f>
        <v>6.4812855868203439E-3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8136.3333333333321</v>
      </c>
      <c r="D83" s="164">
        <f>C83/$C$74</f>
        <v>7.4842321832102252E-2</v>
      </c>
      <c r="E83" s="165">
        <f>E79-E81-E82-E80</f>
        <v>8136.3333333333321</v>
      </c>
      <c r="F83" s="164">
        <f>E83/E74</f>
        <v>7.4842321832102252E-2</v>
      </c>
      <c r="H83" s="165">
        <f>H79-H81-H82-H80</f>
        <v>8136.3333333333321</v>
      </c>
      <c r="I83" s="164">
        <f>H83/$H$74</f>
        <v>7.4842321832102252E-2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6102.2499999999991</v>
      </c>
      <c r="D85" s="258">
        <f>C85/$C$74</f>
        <v>5.6131741374076692E-2</v>
      </c>
      <c r="E85" s="264">
        <f>E83*(1-F84)</f>
        <v>6102.2499999999991</v>
      </c>
      <c r="F85" s="258">
        <f>E85/E74</f>
        <v>5.6131741374076692E-2</v>
      </c>
      <c r="G85" s="260"/>
      <c r="H85" s="264">
        <f>H83*(1-I84)</f>
        <v>6102.2499999999991</v>
      </c>
      <c r="I85" s="258">
        <f>H85/$H$74</f>
        <v>5.6131741374076692E-2</v>
      </c>
      <c r="K85" s="24"/>
    </row>
    <row r="86" spans="1:11" ht="15" customHeight="1" x14ac:dyDescent="0.4">
      <c r="B86" s="87" t="s">
        <v>161</v>
      </c>
      <c r="C86" s="167">
        <f>C85*Data!C4/Common_Shares</f>
        <v>0.61097424994218896</v>
      </c>
      <c r="D86" s="209"/>
      <c r="E86" s="168">
        <f>E85*Data!C4/Common_Shares</f>
        <v>0.61097424994218896</v>
      </c>
      <c r="F86" s="209"/>
      <c r="H86" s="168">
        <f>H85*Data!C4/Common_Shares</f>
        <v>0.61097424994218896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9.0783692413401035E-2</v>
      </c>
      <c r="D87" s="209"/>
      <c r="E87" s="262">
        <f>E86*Exchange_Rate/Dashboard!G3</f>
        <v>9.0783692413401035E-2</v>
      </c>
      <c r="F87" s="209"/>
      <c r="H87" s="262">
        <f>H86*Exchange_Rate/Dashboard!G3</f>
        <v>9.0783692413401035E-2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0.55000000000000004</v>
      </c>
      <c r="D88" s="166">
        <f>C88/C86</f>
        <v>0.90020160432627339</v>
      </c>
      <c r="E88" s="170">
        <f>Inputs!E98</f>
        <v>0.44000000000000006</v>
      </c>
      <c r="F88" s="166">
        <f>E88/E86</f>
        <v>0.72016128346101871</v>
      </c>
      <c r="H88" s="170">
        <f>Inputs!F98</f>
        <v>0.55000000000000004</v>
      </c>
      <c r="I88" s="166">
        <f>H88/H86</f>
        <v>0.90020160432627339</v>
      </c>
      <c r="K88" s="24"/>
    </row>
    <row r="89" spans="1:11" ht="15" customHeight="1" x14ac:dyDescent="0.4">
      <c r="B89" s="87" t="s">
        <v>222</v>
      </c>
      <c r="C89" s="261">
        <f>C88*Exchange_Rate/Dashboard!G3</f>
        <v>8.1723625557206539E-2</v>
      </c>
      <c r="D89" s="209"/>
      <c r="E89" s="261">
        <f>E88*Exchange_Rate/Dashboard!G3</f>
        <v>6.5378900445765234E-2</v>
      </c>
      <c r="F89" s="209"/>
      <c r="H89" s="261">
        <f>H88*Exchange_Rate/Dashboard!G3</f>
        <v>8.1723625557206539E-2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210</v>
      </c>
      <c r="F93" s="144">
        <f>FV(E87,D93,0,-(E86/(C93-D94)))*Exchange_Rate</f>
        <v>15.561961538840382</v>
      </c>
      <c r="H93" s="87" t="s">
        <v>210</v>
      </c>
      <c r="I93" s="144">
        <f>FV(H87,D93,0,-(H86/(C93-D94)))*Exchange_Rate</f>
        <v>15.561961538840382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9.961422995535596</v>
      </c>
      <c r="H94" s="87" t="s">
        <v>211</v>
      </c>
      <c r="I94" s="144">
        <f>FV(H89,D93,0,-(H88/(C93-D94)))*Exchange_Rate</f>
        <v>13.436696674373772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77275.571394084254</v>
      </c>
      <c r="D97" s="213"/>
      <c r="E97" s="123">
        <f>PV(C94,D93,0,-F93)</f>
        <v>7.7370452327182129</v>
      </c>
      <c r="F97" s="213"/>
      <c r="H97" s="123">
        <f>PV(C94,D93,0,-I93)</f>
        <v>7.7370452327182129</v>
      </c>
      <c r="I97" s="123">
        <f>PV(C93,D93,0,-I93)</f>
        <v>10.560616808153801</v>
      </c>
      <c r="K97" s="24"/>
    </row>
    <row r="98" spans="2:11" ht="15" customHeight="1" x14ac:dyDescent="0.4">
      <c r="B98" s="28" t="s">
        <v>145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C97+C98+$C$99</f>
        <v>77275.571394084254</v>
      </c>
      <c r="D100" s="109">
        <f>MIN(F100*(1-C94),E100)</f>
        <v>6.5764884478104806</v>
      </c>
      <c r="E100" s="109">
        <f>MAX(E97+H98+E99,0)</f>
        <v>7.7370452327182129</v>
      </c>
      <c r="F100" s="109">
        <f>(E100+H100)/2</f>
        <v>7.7370452327182129</v>
      </c>
      <c r="H100" s="109">
        <f>MAX(C100*Data!$C$4/Common_Shares,0)</f>
        <v>7.7370452327182129</v>
      </c>
      <c r="I100" s="109">
        <f>MAX(I97+H98+H99,0)</f>
        <v>10.560616808153801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66722.206617058459</v>
      </c>
      <c r="D103" s="109">
        <f>MIN(F103*(1-C94),E103)</f>
        <v>4.9440253185818017</v>
      </c>
      <c r="E103" s="123">
        <f>PV(C94,D93,0,-F94)</f>
        <v>4.952587763845699</v>
      </c>
      <c r="F103" s="109">
        <f>(E103+H103)/2</f>
        <v>5.8165003748021196</v>
      </c>
      <c r="H103" s="123">
        <f>PV(C94,D93,0,-I94)</f>
        <v>6.680412985758541</v>
      </c>
      <c r="I103" s="109">
        <f>PV(C93,D93,0,-I94)</f>
        <v>9.1183752376777676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63370.357229137822</v>
      </c>
      <c r="D106" s="109">
        <f>(D100+D103)/2</f>
        <v>5.7602568831961412</v>
      </c>
      <c r="E106" s="123">
        <f>(E100+E103)/2</f>
        <v>6.3448164982819559</v>
      </c>
      <c r="F106" s="109">
        <f>(F100+F103)/2</f>
        <v>6.7767728037601662</v>
      </c>
      <c r="H106" s="123">
        <f>(H100+H103)/2</f>
        <v>7.2087291092383765</v>
      </c>
      <c r="I106" s="123">
        <f>(I100+I103)/2</f>
        <v>9.8394960229157853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