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A396C1-9CA1-41E4-8502-8B06969885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C68" i="4"/>
  <c r="D67" i="4"/>
  <c r="D62" i="4"/>
  <c r="D63" i="4" s="1"/>
  <c r="D61" i="4"/>
  <c r="D60" i="4"/>
  <c r="D59" i="4"/>
  <c r="D58" i="4"/>
  <c r="D71" i="4" s="1"/>
  <c r="D55" i="4"/>
  <c r="D50" i="4"/>
  <c r="D56" i="4" s="1"/>
  <c r="C50" i="4"/>
  <c r="D44" i="4"/>
  <c r="C44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<sst xmlns="http://schemas.openxmlformats.org/spreadsheetml/2006/main" count="391" uniqueCount="270">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</sst>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0.40582271112351315</c:v>
                </c:pt>
                <c:pt idx="1">
                  <c:v>0.11982079652220817</c:v>
                </c:pt>
                <c:pt idx="2">
                  <c:v>0</c:v>
                </c:pt>
                <c:pt idx="3">
                  <c:v>0</c:v>
                </c:pt>
                <c:pt idx="4">
                  <c:v>8.3142963573174758E-2</c:v>
                </c:pt>
                <c:pt idx="5">
                  <c:v>0</c:v>
                </c:pt>
                <c:pt idx="6">
                  <c:v>0.39121352878110394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1200000000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4.4798452933265634E-2</v>
      </c>
      <c r="D45" s="152">
        <f>IF(D44="","",D44*Exchange_Rate/Dashboard!$G$3)</f>
        <v>3.7433988524247092E-2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382919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800111</v>
      </c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436546</v>
      </c>
      <c r="D72" s="248">
        <v>0</v>
      </c>
      <c r="E72" s="249"/>
    </row>
    <row r="73" spans="2:5" ht="13.9" x14ac:dyDescent="0.4">
      <c r="B73" s="3" t="s">
        <v>38</v>
      </c>
      <c r="C73" s="59">
        <v>1333523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61</v>
      </c>
      <c r="C78" s="59">
        <v>545657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546386</v>
      </c>
    </row>
    <row r="83" spans="2:8" ht="14.25" thickTop="1" x14ac:dyDescent="0.4">
      <c r="B83" s="73" t="s">
        <v>220</v>
      </c>
      <c r="C83" s="59">
        <v>3597231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45169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105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247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257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1969.HK</v>
      </c>
      <c r="D3" s="278"/>
      <c r="E3" s="87"/>
      <c r="F3" s="3" t="s">
        <v>1</v>
      </c>
      <c r="G3" s="132">
        <v>4.37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中國春來</v>
      </c>
      <c r="D4" s="280"/>
      <c r="E4" s="87"/>
      <c r="F4" s="3" t="s">
        <v>2</v>
      </c>
      <c r="G4" s="283">
        <f>Inputs!C10</f>
        <v>1200000000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5244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0.40582271112351315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0.11982079652220817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1.3634469557699238</v>
      </c>
    </row>
    <row r="24" spans="1:8" ht="15.75" customHeight="1" x14ac:dyDescent="0.4">
      <c r="B24" s="137" t="s">
        <v>170</v>
      </c>
      <c r="C24" s="171">
        <f>Fin_Analysis!I81</f>
        <v>8.3142963573174758E-2</v>
      </c>
      <c r="F24" s="140" t="s">
        <v>260</v>
      </c>
      <c r="G24" s="268">
        <f>G3/(Fin_Analysis!H86*G7)</f>
        <v>11.159138022799331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0.49991211949019065</v>
      </c>
    </row>
    <row r="26" spans="1:8" ht="15.75" customHeight="1" x14ac:dyDescent="0.4">
      <c r="B26" s="138" t="s">
        <v>173</v>
      </c>
      <c r="C26" s="171">
        <f>Fin_Analysis!I83</f>
        <v>0.39121352878110394</v>
      </c>
      <c r="F26" s="141" t="s">
        <v>193</v>
      </c>
      <c r="G26" s="178">
        <f>Fin_Analysis!H88*Exchange_Rate/G3</f>
        <v>4.4798452933265634E-2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2.5873277708152074</v>
      </c>
      <c r="D29" s="129">
        <f>G29*(1+G20)</f>
        <v>5.3312127521831183</v>
      </c>
      <c r="E29" s="87"/>
      <c r="F29" s="131">
        <f>IF(Fin_Analysis!C108="Profit",Fin_Analysis!F100,IF(Fin_Analysis!C108="Dividend",Fin_Analysis!F103,Fin_Analysis!F106))</f>
        <v>3.0439150244884794</v>
      </c>
      <c r="G29" s="274">
        <f>IF(Fin_Analysis!C108="Profit",Fin_Analysis!I100,IF(Fin_Analysis!C108="Dividend",Fin_Analysis!I103,Fin_Analysis!I106))</f>
        <v>4.6358371758114076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200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6620103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1401555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1018636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2476486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546386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1333523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545657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1879180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3597231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382919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6237184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0.11392448900016418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8.3142963573174758E-2</v>
      </c>
      <c r="D45" s="153">
        <f t="shared" si="37"/>
        <v>0.10372541336406974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0.39121352878110394</v>
      </c>
      <c r="D48" s="153">
        <f t="shared" si="40"/>
        <v>0.37230455004097934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0.68001457980910063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0.45662008582041702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0.3118503815493992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0.21252578823698046</v>
      </c>
      <c r="D56" s="153">
        <f t="shared" si="46"/>
        <v>0.27860366829428418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0.5659450527885076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3597231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0.5659450527885076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-1452209.8021056415</v>
      </c>
      <c r="E6" s="56">
        <f>1-D6/D3</f>
        <v>1.4037021259145275</v>
      </c>
      <c r="F6" s="87"/>
      <c r="G6" s="87"/>
      <c r="H6" s="1" t="s">
        <v>29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38</v>
      </c>
      <c r="I11" s="40">
        <f>Inputs!C73</f>
        <v>1333523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1333523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0.38595360522934513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545657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77</v>
      </c>
      <c r="I34" s="84">
        <f>SUM(I30:I33)</f>
        <v>545657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80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84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85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1879180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45169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105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95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160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8.9612656278369479E-2</v>
      </c>
      <c r="D87" s="209"/>
      <c r="E87" s="262">
        <f>E86*Exchange_Rate/Dashboard!G3</f>
        <v>8.9612656278369479E-2</v>
      </c>
      <c r="F87" s="209"/>
      <c r="H87" s="262">
        <f>H86*Exchange_Rate/Dashboard!G3</f>
        <v>8.9612656278369479E-2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221</v>
      </c>
      <c r="C89" s="261">
        <f>C88*Exchange_Rate/Dashboard!G3</f>
        <v>4.4798452933265634E-2</v>
      </c>
      <c r="D89" s="209"/>
      <c r="E89" s="261">
        <f>E88*Exchange_Rate/Dashboard!G3</f>
        <v>4.4798452933265634E-2</v>
      </c>
      <c r="F89" s="209"/>
      <c r="H89" s="261">
        <f>H88*Exchange_Rate/Dashboard!G3</f>
        <v>4.4798452933265634E-2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9.0787404562348879</v>
      </c>
      <c r="H93" s="87" t="s">
        <v>209</v>
      </c>
      <c r="I93" s="144">
        <f>FV(H87,D93,0,-(H86/(C93-D94)))*Exchange_Rate</f>
        <v>9.0787404562348879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3.6789270397082845</v>
      </c>
      <c r="H94" s="87" t="s">
        <v>210</v>
      </c>
      <c r="I94" s="144">
        <f>FV(H89,D93,0,-(H88/(C93-D94)))*Exchange_Rate</f>
        <v>3.6789270397082845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5416486.2487816419</v>
      </c>
      <c r="D97" s="213"/>
      <c r="E97" s="123">
        <f>PV(C94,D93,0,-F93)</f>
        <v>4.5137385406513681</v>
      </c>
      <c r="F97" s="213"/>
      <c r="H97" s="123">
        <f>PV(C94,D93,0,-I93)</f>
        <v>4.5137385406513681</v>
      </c>
      <c r="I97" s="123">
        <f>PV(C93,D93,0,-I93)</f>
        <v>6.0031148652652577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-1640733.22734462</v>
      </c>
      <c r="D99" s="214"/>
      <c r="E99" s="145">
        <f>IF(H99&gt;0,H99*(1-C94),H99*(1+C94))</f>
        <v>-1.5723693428719274</v>
      </c>
      <c r="F99" s="214"/>
      <c r="H99" s="145">
        <f>C99*Data!$C$4/Common_Shares</f>
        <v>-1.3672776894538501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3775753.0214370219</v>
      </c>
      <c r="D100" s="109">
        <f>MIN(F100*(1-C94),E100)</f>
        <v>2.5873277708152074</v>
      </c>
      <c r="E100" s="109">
        <f>MAX(E97+H98+E99,0)</f>
        <v>2.9413691977794407</v>
      </c>
      <c r="F100" s="109">
        <f>(E100+H100)/2</f>
        <v>3.0439150244884794</v>
      </c>
      <c r="H100" s="109">
        <f>MAX(C100*Data!$C$4/Common_Shares,0)</f>
        <v>3.1464608511975181</v>
      </c>
      <c r="I100" s="109">
        <f>MAX(I97+H98+H99,0)</f>
        <v>4.6358371758114076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2194892.3220033203</v>
      </c>
      <c r="D103" s="109">
        <f>MIN(F103*(1-C94),E103)</f>
        <v>1.5547153947523518</v>
      </c>
      <c r="E103" s="123">
        <f>PV(C94,D93,0,-F94)</f>
        <v>1.8290769350027669</v>
      </c>
      <c r="F103" s="109">
        <f>(E103+H103)/2</f>
        <v>1.8290769350027669</v>
      </c>
      <c r="H103" s="123">
        <f>PV(C94,D93,0,-I94)</f>
        <v>1.8290769350027669</v>
      </c>
      <c r="I103" s="109">
        <f>PV(C93,D93,0,-I94)</f>
        <v>2.4326085437470644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2862267.6796693248</v>
      </c>
      <c r="D106" s="109">
        <f>(D100+D103)/2</f>
        <v>2.0710215827837795</v>
      </c>
      <c r="E106" s="123">
        <f>(E100+E103)/2</f>
        <v>2.385223066391104</v>
      </c>
      <c r="F106" s="109">
        <f>(F100+F103)/2</f>
        <v>2.4364959797456232</v>
      </c>
      <c r="H106" s="123">
        <f>(H100+H103)/2</f>
        <v>2.4877688931001423</v>
      </c>
      <c r="I106" s="123">
        <f>(I100+I103)/2</f>
        <v>3.534222859779236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