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4EE8F879-C6BF-4E52-B747-4AF9C7A4AD8F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D69" i="4" l="1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M52" i="2"/>
  <c r="D53" i="4" l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F98" i="4" s="1"/>
  <c r="E98" i="4" s="1"/>
  <c r="D93" i="3"/>
  <c r="C108" i="3"/>
  <c r="C93" i="4"/>
  <c r="C92" i="4"/>
  <c r="C91" i="4"/>
  <c r="F91" i="4" l="1"/>
  <c r="E91" i="4"/>
  <c r="I12" i="2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F97" i="4" s="1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F92" i="4" l="1"/>
  <c r="E92" i="4"/>
  <c r="E93" i="4"/>
  <c r="F93" i="4"/>
  <c r="H75" i="3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E48" i="2"/>
  <c r="C34" i="2"/>
  <c r="C33" i="2"/>
  <c r="C47" i="3"/>
  <c r="C45" i="3"/>
  <c r="C27" i="3"/>
  <c r="C26" i="3"/>
  <c r="C44" i="3"/>
  <c r="C46" i="3"/>
  <c r="F96" i="4" l="1"/>
  <c r="H80" i="3" s="1"/>
  <c r="I80" i="3" s="1"/>
  <c r="C35" i="2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C23" i="1" l="1"/>
  <c r="F80" i="3"/>
  <c r="E80" i="3" s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F94" i="4" l="1"/>
  <c r="H81" i="3" s="1"/>
  <c r="I81" i="3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F95" i="4" l="1"/>
  <c r="H82" i="3" s="1"/>
  <c r="E95" i="4"/>
  <c r="E82" i="3"/>
  <c r="E83" i="3" s="1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F100" i="3" l="1"/>
  <c r="D100" i="3" s="1"/>
  <c r="H106" i="3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<sst xmlns="http://schemas.openxmlformats.org/spreadsheetml/2006/main" count="391" uniqueCount="272">
  <si>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</si>
  <si>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</si>
  <si>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</si>
  <si>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</si>
  <si>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</si>
  <si>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</si>
  <si>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</si>
  <si>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</si>
  <si>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</si>
  <si>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</si>
  <si>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</si>
  <si>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</si>
  <si>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</si>
  <si>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</si>
  <si>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</si>
  <si>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</si>
  <si>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</si>
  <si>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</si>
  <si>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</si>
  <si>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</si>
  <si>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</si>
  <si>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</si>
  <si>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</si>
  <si>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</si>
  <si>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</si>
  <si>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</si>
  <si>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</si>
  <si>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</si>
  <si>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</si>
  <si>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</si>
  <si>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</si>
  <si>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</si>
  <si>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</si>
  <si>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</si>
  <si>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</si>
  <si>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</si>
  <si>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</si>
  <si>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</si>
  <si>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</si>
  <si>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</si>
  <si>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</si>
  <si>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</si>
  <si>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</si>
  <si>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</si>
  <si>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</si>
  <si>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</si>
  <si>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</si>
  <si>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</si>
  <si>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</si>
  <si>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</si>
  <si>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</si>
  <si>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</si>
  <si>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</si>
  <si>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</si>
  <si>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</si>
  <si>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</si>
  <si>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</si>
  <si>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</si>
  <si>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</si>
  <si>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</si>
  <si>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</si>
  <si>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</si>
  <si>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</si>
  <si>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</si>
  <si>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</si>
  <si>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</si>
  <si>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</si>
  <si>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</si>
  <si>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</si>
  <si>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</si>
  <si>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</si>
  <si>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</si>
  <si>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</si>
  <si>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</si>
  <si>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</si>
  <si>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</si>
  <si>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</si>
  <si>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</si>
  <si>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</si>
  <si>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</si>
  <si>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</si>
  <si>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</si>
  <si>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</si>
  <si>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</si>
  <si>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</si>
  <si>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</si>
  <si>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</si>
  <si>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</si>
  <si>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</si>
  <si>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</si>
  <si>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</si>
  <si>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</si>
  <si>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</si>
  <si>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</si>
  <si>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</si>
  <si>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</si>
  <si>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</si>
  <si>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</si>
  <si>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</si>
  <si>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</si>
  <si>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</si>
  <si>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</si>
  <si>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</si>
  <si>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</si>
  <si>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</si>
  <si>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</si>
  <si>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</si>
  <si>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</si>
  <si>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</si>
  <si>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</si>
  <si>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</si>
  <si>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</si>
  <si>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</si>
  <si>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</si>
  <si>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</si>
  <si>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</si>
  <si>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</si>
  <si>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</si>
  <si>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</si>
  <si>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</si>
  <si>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</si>
  <si>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</si>
  <si>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</si>
  <si>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</si>
  <si>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</si>
  <si>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</si>
  <si>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</si>
  <si>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</si>
  <si>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</si>
  <si>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</si>
  <si>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</si>
  <si>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</si>
  <si>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</si>
  <si>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</si>
  <si>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</si>
  <si>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</si>
  <si>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</si>
  <si>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</si>
  <si>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</si>
  <si>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</si>
  <si>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</si>
  <si>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</si>
  <si>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</si>
  <si>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</si>
  <si>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</si>
  <si>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</si>
  <si>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</si>
  <si>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</si>
  <si>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</si>
  <si>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</si>
  <si>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</si>
  <si>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</si>
  <si>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</si>
  <si>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</si>
  <si>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</si>
  <si>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</si>
  <si>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</si>
  <si>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</si>
  <si>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</si>
  <si>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</si>
  <si>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</si>
  <si>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</si>
  <si>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</si>
  <si>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</si>
  <si>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</si>
  <si>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</si>
  <si>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</si>
  <si>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</si>
  <si>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</si>
  <si>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</si>
  <si>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</si>
  <si>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</si>
  <si>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</si>
  <si>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</si>
  <si>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</si>
  <si>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</si>
  <si>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</si>
  <si>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</si>
  <si>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</si>
  <si>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</si>
  <si>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</si>
  <si>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</si>
  <si>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</si>
  <si>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</si>
  <si>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</si>
  <si>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</si>
  <si>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</si>
  <si>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</si>
  <si>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</si>
  <si>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</si>
  <si>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</si>
  <si>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</si>
  <si>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</si>
  <si>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</si>
  <si>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</si>
  <si>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</si>
  <si>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</si>
  <si>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</si>
  <si>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</si>
  <si>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</si>
  <si>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</si>
  <si>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</si>
  <si>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</si>
  <si>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</si>
  <si>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</si>
  <si>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</si>
  <si>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</si>
  <si>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</si>
  <si>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</si>
  <si>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</si>
  <si>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</si>
  <si>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</si>
  <si>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</si>
  <si>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</si>
  <si>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</si>
  <si>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</si>
  <si>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</si>
  <si>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</si>
  <si>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</si>
  <si>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</si>
  <si>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</si>
  <si>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</si>
  <si>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</si>
  <si>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</si>
  <si>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</si>
  <si>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</si>
  <si>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</si>
  <si>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</si>
  <si>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</si>
  <si>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</si>
  <si>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</si>
  <si>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</si>
  <si>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</si>
  <si>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</si>
  <si>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</si>
  <si>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</si>
  <si>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</si>
  <si>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</si>
  <si>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</si>
  <si>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</si>
  <si>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</si>
  <si>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</si>
  <si>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</si>
  <si>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</si>
  <si>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</si>
  <si>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</si>
  <si>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</si>
  <si>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</si>
  <si>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</si>
  <si>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</si>
  <si>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</si>
  <si>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</si>
  <si>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</si>
  <si>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</si>
  <si>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</si>
  <si>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</si>
  <si>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</si>
  <si>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</si>
  <si>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</si>
  <si>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</si>
  <si>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</si>
  <si>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</si>
  <si>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</si>
  <si>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</si>
  <si>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</si>
  <si>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6186.HK</t>
  </si>
  <si>
    <t>中国飞鹤</t>
  </si>
  <si>
    <t>C0002</t>
  </si>
  <si>
    <t>CNY</t>
  </si>
  <si>
    <t>agree</t>
  </si>
  <si>
    <t>disagree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</si>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</sst>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0.35166796085418528</c:v>
                </c:pt>
                <c:pt idx="1">
                  <c:v>0.43886385985236792</c:v>
                </c:pt>
                <c:pt idx="2">
                  <c:v>0</c:v>
                </c:pt>
                <c:pt idx="3">
                  <c:v>0</c:v>
                </c:pt>
                <c:pt idx="4">
                  <c:v>2.7202256703967287E-3</c:v>
                </c:pt>
                <c:pt idx="5">
                  <c:v>0</c:v>
                </c:pt>
                <c:pt idx="6">
                  <c:v>0.2067479536230501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265</v>
      </c>
    </row>
    <row r="5" spans="1:5" ht="13.9" x14ac:dyDescent="0.4">
      <c r="B5" s="141" t="s">
        <v>195</v>
      </c>
      <c r="C5" s="191" t="s">
        <v>266</v>
      </c>
    </row>
    <row r="6" spans="1:5" ht="13.9" x14ac:dyDescent="0.4">
      <c r="B6" s="141" t="s">
        <v>163</v>
      </c>
      <c r="C6" s="189">
        <v>45605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267</v>
      </c>
    </row>
    <row r="10" spans="1:5" ht="13.9" x14ac:dyDescent="0.4">
      <c r="B10" s="140" t="s">
        <v>217</v>
      </c>
      <c r="C10" s="193">
        <v>9067251704</v>
      </c>
    </row>
    <row r="11" spans="1:5" ht="13.9" x14ac:dyDescent="0.4">
      <c r="B11" s="140" t="s">
        <v>218</v>
      </c>
      <c r="C11" s="192" t="s">
        <v>268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261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269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270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19532203</v>
      </c>
      <c r="D25" s="149">
        <v>21310933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6868850</v>
      </c>
      <c r="D26" s="150">
        <v>7360333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8571978</v>
      </c>
      <c r="D27" s="150">
        <v>8215637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53132</v>
      </c>
      <c r="D29" s="150">
        <v>33640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-99657</v>
      </c>
      <c r="D30" s="150">
        <v>6058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>
        <v>-337926</v>
      </c>
      <c r="D31" s="150">
        <v>827860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v>630037</v>
      </c>
      <c r="D32" s="150">
        <v>543737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v>630037</v>
      </c>
      <c r="D33" s="150">
        <v>543737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>
        <v>22554271</v>
      </c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>
        <v>431184</v>
      </c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>
        <v>2258059</v>
      </c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>
        <v>7382230</v>
      </c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>
        <v>2478102</v>
      </c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>
        <v>592316</v>
      </c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>
        <v>1044096</v>
      </c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>
        <v>26334346</v>
      </c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>
        <v>1389487</v>
      </c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>
        <v>19968596</v>
      </c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0.1484+0.1632</f>
        <v>0.31159999999999999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5.6853334561956612E-2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v>19073030</v>
      </c>
      <c r="D48" s="60">
        <v>0.9</v>
      </c>
      <c r="E48" s="112"/>
    </row>
    <row r="49" spans="2:5" ht="13.9" x14ac:dyDescent="0.4">
      <c r="B49" s="1" t="s">
        <v>135</v>
      </c>
      <c r="C49" s="59">
        <v>20972</v>
      </c>
      <c r="D49" s="60">
        <v>0.8</v>
      </c>
      <c r="E49" s="112"/>
    </row>
    <row r="50" spans="2:5" ht="13.9" x14ac:dyDescent="0.4">
      <c r="B50" s="3" t="s">
        <v>116</v>
      </c>
      <c r="C50" s="59">
        <v>308472</v>
      </c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263</v>
      </c>
      <c r="C54" s="59">
        <v>854264</v>
      </c>
      <c r="D54" s="60">
        <v>0.1</v>
      </c>
      <c r="E54" s="112"/>
    </row>
    <row r="55" spans="2:5" ht="13.9" x14ac:dyDescent="0.4">
      <c r="B55" s="3" t="s">
        <v>46</v>
      </c>
      <c r="C55" s="59">
        <v>2139247</v>
      </c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>
        <v>300000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v>1800</v>
      </c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262</v>
      </c>
      <c r="C64" s="59"/>
      <c r="D64" s="60">
        <v>0.4</v>
      </c>
      <c r="E64" s="112"/>
    </row>
    <row r="65" spans="2:5" ht="13.9" x14ac:dyDescent="0.4">
      <c r="B65" s="3" t="s">
        <v>69</v>
      </c>
      <c r="C65" s="59">
        <v>113569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>
        <v>45190</v>
      </c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v>9938000</v>
      </c>
      <c r="D68" s="60">
        <f>D65</f>
        <v>0.1</v>
      </c>
      <c r="E68" s="112"/>
    </row>
    <row r="69" spans="2:5" ht="13.9" x14ac:dyDescent="0.4">
      <c r="B69" s="3" t="s">
        <v>72</v>
      </c>
      <c r="C69" s="59">
        <v>2304520</v>
      </c>
      <c r="D69" s="60">
        <f>D70</f>
        <v>0.05</v>
      </c>
      <c r="E69" s="112"/>
    </row>
    <row r="70" spans="2:5" ht="13.9" x14ac:dyDescent="0.4">
      <c r="B70" s="3" t="s">
        <v>73</v>
      </c>
      <c r="C70" s="59">
        <v>15244</v>
      </c>
      <c r="D70" s="60">
        <v>0.05</v>
      </c>
      <c r="E70" s="112"/>
    </row>
    <row r="71" spans="2:5" ht="13.9" x14ac:dyDescent="0.4">
      <c r="B71" s="3" t="s">
        <v>74</v>
      </c>
      <c r="C71" s="59">
        <v>382475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>
        <v>112402</v>
      </c>
      <c r="D72" s="248">
        <v>0</v>
      </c>
      <c r="E72" s="249"/>
    </row>
    <row r="73" spans="2:5" ht="13.9" x14ac:dyDescent="0.4">
      <c r="B73" s="3" t="s">
        <v>38</v>
      </c>
      <c r="C73" s="59">
        <v>510909</v>
      </c>
    </row>
    <row r="74" spans="2:5" ht="13.9" x14ac:dyDescent="0.4">
      <c r="B74" s="3" t="s">
        <v>39</v>
      </c>
      <c r="C74" s="59">
        <v>28807</v>
      </c>
    </row>
    <row r="75" spans="2:5" ht="13.9" x14ac:dyDescent="0.4">
      <c r="B75" s="3" t="s">
        <v>40</v>
      </c>
      <c r="C75" s="59">
        <v>0</v>
      </c>
    </row>
    <row r="76" spans="2:5" ht="13.9" x14ac:dyDescent="0.4">
      <c r="B76" s="86" t="s">
        <v>42</v>
      </c>
      <c r="C76" s="120">
        <v>9668</v>
      </c>
    </row>
    <row r="77" spans="2:5" ht="14.25" thickBot="1" x14ac:dyDescent="0.45">
      <c r="B77" s="80" t="s">
        <v>15</v>
      </c>
      <c r="C77" s="83">
        <v>6712617</v>
      </c>
    </row>
    <row r="78" spans="2:5" ht="14.25" thickTop="1" x14ac:dyDescent="0.4">
      <c r="B78" s="3" t="s">
        <v>61</v>
      </c>
      <c r="C78" s="59">
        <v>756896</v>
      </c>
    </row>
    <row r="79" spans="2:5" ht="13.9" x14ac:dyDescent="0.4">
      <c r="B79" s="3" t="s">
        <v>63</v>
      </c>
      <c r="C79" s="59">
        <v>52067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1852861</v>
      </c>
    </row>
    <row r="83" spans="2:8" ht="14.25" thickTop="1" x14ac:dyDescent="0.4">
      <c r="B83" s="73" t="s">
        <v>220</v>
      </c>
      <c r="C83" s="59">
        <v>25617273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19532203</v>
      </c>
      <c r="D91" s="209"/>
      <c r="E91" s="251">
        <f>C91</f>
        <v>19532203</v>
      </c>
      <c r="F91" s="251">
        <f>C91</f>
        <v>19532203</v>
      </c>
    </row>
    <row r="92" spans="2:8" ht="13.9" x14ac:dyDescent="0.4">
      <c r="B92" s="104" t="s">
        <v>105</v>
      </c>
      <c r="C92" s="77">
        <f>C26</f>
        <v>6868850</v>
      </c>
      <c r="D92" s="159">
        <f>C92/C91</f>
        <v>0.35166796085418528</v>
      </c>
      <c r="E92" s="252">
        <f>E91*D92</f>
        <v>6868850</v>
      </c>
      <c r="F92" s="252">
        <f>F91*D92</f>
        <v>6868850</v>
      </c>
    </row>
    <row r="93" spans="2:8" ht="13.9" x14ac:dyDescent="0.4">
      <c r="B93" s="104" t="s">
        <v>247</v>
      </c>
      <c r="C93" s="77">
        <f>C27+C28</f>
        <v>8571978</v>
      </c>
      <c r="D93" s="159">
        <f>C93/C91</f>
        <v>0.43886385985236792</v>
      </c>
      <c r="E93" s="252">
        <f>E91*D93</f>
        <v>8571978</v>
      </c>
      <c r="F93" s="252">
        <f>F91*D93</f>
        <v>8571978</v>
      </c>
    </row>
    <row r="94" spans="2:8" ht="13.9" x14ac:dyDescent="0.4">
      <c r="B94" s="104" t="s">
        <v>257</v>
      </c>
      <c r="C94" s="77">
        <f>C29</f>
        <v>53132</v>
      </c>
      <c r="D94" s="159">
        <f>C94/C91</f>
        <v>2.7202256703967287E-3</v>
      </c>
      <c r="E94" s="253"/>
      <c r="F94" s="252">
        <f>F91*D94</f>
        <v>53131.999999999993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0.31159999999999999</v>
      </c>
      <c r="D98" s="266"/>
      <c r="E98" s="254">
        <f>F98</f>
        <v>0.31159999999999999</v>
      </c>
      <c r="F98" s="254">
        <f>C98</f>
        <v>0.31159999999999999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6186.HK : 中国飞鹤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6186.HK</v>
      </c>
      <c r="D3" s="278"/>
      <c r="E3" s="87"/>
      <c r="F3" s="3" t="s">
        <v>1</v>
      </c>
      <c r="G3" s="132">
        <v>5.86</v>
      </c>
      <c r="H3" s="134" t="s">
        <v>271</v>
      </c>
    </row>
    <row r="4" spans="1:10" ht="15.75" customHeight="1" x14ac:dyDescent="0.4">
      <c r="B4" s="35" t="s">
        <v>195</v>
      </c>
      <c r="C4" s="279" t="str">
        <f>Inputs!C5</f>
        <v>中国飞鹤</v>
      </c>
      <c r="D4" s="280"/>
      <c r="E4" s="87"/>
      <c r="F4" s="3" t="s">
        <v>2</v>
      </c>
      <c r="G4" s="283">
        <f>Inputs!C10</f>
        <v>9067251704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45605</v>
      </c>
      <c r="D5" s="282"/>
      <c r="E5" s="34"/>
      <c r="F5" s="35" t="s">
        <v>99</v>
      </c>
      <c r="G5" s="275">
        <f>G3*G4/1000000</f>
        <v>53134.094985440002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C0002</v>
      </c>
      <c r="E7" s="87"/>
      <c r="F7" s="35" t="s">
        <v>5</v>
      </c>
      <c r="G7" s="133">
        <v>1.0691930055618286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0.35166796085418528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0.43886385985236792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>
        <f>G3/(Data!C36*Data!C4/Common_Shares*Exchange_Rate)</f>
        <v>1.8375998923883901</v>
      </c>
    </row>
    <row r="24" spans="1:8" ht="15.75" customHeight="1" x14ac:dyDescent="0.4">
      <c r="B24" s="137" t="s">
        <v>170</v>
      </c>
      <c r="C24" s="171">
        <f>Fin_Analysis!I81</f>
        <v>2.7202256703967287E-3</v>
      </c>
      <c r="F24" s="140" t="s">
        <v>260</v>
      </c>
      <c r="G24" s="268">
        <f>G3/(Fin_Analysis!H86*G7)</f>
        <v>16.408295413948807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0.93286630876064991</v>
      </c>
    </row>
    <row r="26" spans="1:8" ht="15.75" customHeight="1" x14ac:dyDescent="0.4">
      <c r="B26" s="138" t="s">
        <v>173</v>
      </c>
      <c r="C26" s="171">
        <f>Fin_Analysis!I83</f>
        <v>0.2067479536230501</v>
      </c>
      <c r="F26" s="141" t="s">
        <v>193</v>
      </c>
      <c r="G26" s="178">
        <f>Fin_Analysis!H88*Exchange_Rate/G3</f>
        <v>5.6853334561956612E-2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3.8594899198126491</v>
      </c>
      <c r="D29" s="129">
        <f>G29*(1+G20)</f>
        <v>6.7050019045939528</v>
      </c>
      <c r="E29" s="87"/>
      <c r="F29" s="131">
        <f>IF(Fin_Analysis!C108="Profit",Fin_Analysis!F100,IF(Fin_Analysis!C108="Dividend",Fin_Analysis!F103,Fin_Analysis!F106))</f>
        <v>4.5405763762501756</v>
      </c>
      <c r="G29" s="274">
        <f>IF(Fin_Analysis!C108="Profit",Fin_Analysis!I100,IF(Fin_Analysis!C108="Dividend",Fin_Analysis!I103,Fin_Analysis!I106))</f>
        <v>5.8304364387773511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Strongly 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disagree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4091375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19532203</v>
      </c>
      <c r="D6" s="200">
        <f>IF(Inputs!D25="","",Inputs!D25)</f>
        <v>21310933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-8.3465608943540825E-2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6868850</v>
      </c>
      <c r="D8" s="199">
        <f>IF(Inputs!D26="","",Inputs!D26)</f>
        <v>7360333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12663353</v>
      </c>
      <c r="D9" s="151">
        <f t="shared" si="2"/>
        <v>13950600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8571978</v>
      </c>
      <c r="D10" s="199">
        <f>IF(Inputs!D27="","",Inputs!D27)</f>
        <v>8215637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0</v>
      </c>
      <c r="D12" s="199">
        <f>IF(Inputs!D30="","",MAX(Inputs!D30,0)/(1-Fin_Analysis!$I$84))</f>
        <v>8077.333333333333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0.20946817929344683</v>
      </c>
      <c r="D13" s="229">
        <f t="shared" si="3"/>
        <v>0.26872993625697511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4091375</v>
      </c>
      <c r="D14" s="230">
        <f t="shared" ref="D14:M14" si="4">IF(D6="","",D9-D10-MAX(D11,0)-MAX(D12,0))</f>
        <v>5726885.666666667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-0.28558465488252288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>
        <f>IF(Inputs!C31="","",Inputs!C31)</f>
        <v>-337926</v>
      </c>
      <c r="D16" s="199">
        <f>IF(Inputs!D31="","",Inputs!D31)</f>
        <v>827860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53132</v>
      </c>
      <c r="D17" s="199">
        <f>IF(Inputs!D29="","",Inputs!D29)</f>
        <v>33640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3.2256320498000146E-2</v>
      </c>
      <c r="D18" s="152">
        <f t="shared" si="6"/>
        <v>2.5514462459245685E-2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630037</v>
      </c>
      <c r="D19" s="199">
        <f>IF(Inputs!D32="","",Inputs!D32)</f>
        <v>543737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3.2256320498000146E-2</v>
      </c>
      <c r="D20" s="152">
        <f t="shared" si="7"/>
        <v>2.5514462459245685E-2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630037</v>
      </c>
      <c r="D21" s="199">
        <f>IF(Inputs!D33="","",Inputs!D33)</f>
        <v>543737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4038243</v>
      </c>
      <c r="D22" s="161">
        <f t="shared" ref="D22:M22" si="8">IF(D6="","",D14-MAX(D16,0)-MAX(D17,0)-ABS(MAX(D21,0)-MAX(D19,0)))</f>
        <v>4865385.666666667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0.15506096521728757</v>
      </c>
      <c r="D23" s="153">
        <f t="shared" si="9"/>
        <v>0.17122850745202006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3028682.25</v>
      </c>
      <c r="D24" s="77">
        <f>IF(D6="","",D22*(1-Fin_Analysis!$I$84))</f>
        <v>3649039.25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-0.17000557064438263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35609185</v>
      </c>
      <c r="D27" s="65">
        <f t="shared" ref="D27:M27" si="20">IF(D36="","",D36+D31+D32)</f>
        <v>36194678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22395985</v>
      </c>
      <c r="D28" s="199">
        <f>IF(Inputs!D34="","",Inputs!D34)</f>
        <v>22554271</v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308472</v>
      </c>
      <c r="D29" s="199">
        <f>IF(Inputs!D35="","",Inputs!D35)</f>
        <v>431184</v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2139247</v>
      </c>
      <c r="D30" s="199">
        <f>IF(Inputs!D36="","",Inputs!D36)</f>
        <v>2258059</v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6712617</v>
      </c>
      <c r="D31" s="199">
        <f>IF(Inputs!D37="","",Inputs!D37)</f>
        <v>7382230</v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1852861</v>
      </c>
      <c r="D32" s="199">
        <f>IF(Inputs!D38="","",Inputs!D38)</f>
        <v>2478102</v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549384</v>
      </c>
      <c r="D33" s="199">
        <f>IF(Inputs!D39="","",Inputs!D39)</f>
        <v>592316</v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808963</v>
      </c>
      <c r="D34" s="199">
        <f>IF(Inputs!D40="","",Inputs!D40)</f>
        <v>1044096</v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1358347</v>
      </c>
      <c r="D35" s="77">
        <f t="shared" ref="D35" si="22">IF(OR(D33="",D34=""),"",D33+D34)</f>
        <v>1636412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27043707</v>
      </c>
      <c r="D36" s="199">
        <f>IF(Inputs!D41="","",Inputs!D41)</f>
        <v>26334346</v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1426434</v>
      </c>
      <c r="D37" s="199">
        <f>IF(Inputs!D42="","",Inputs!D42)</f>
        <v>1389487</v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19533589</v>
      </c>
      <c r="D38" s="199">
        <f>IF(Inputs!D43="","",Inputs!D43)</f>
        <v>19968596</v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16075596</v>
      </c>
      <c r="D39" s="65">
        <f>IF(D38="","",D27-D38)</f>
        <v>16226082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0.25450844870697176</v>
      </c>
      <c r="D40" s="155">
        <f>IF(D6="","",D14/MAX(D39,0))</f>
        <v>0.35294322231741876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0.35166796085418528</v>
      </c>
      <c r="D42" s="156">
        <f t="shared" si="34"/>
        <v>0.34537826194657922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0.43886385985236792</v>
      </c>
      <c r="D43" s="153">
        <f t="shared" si="35"/>
        <v>0.3855127788163944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3.8846727170509146E-2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2.7202256703967287E-3</v>
      </c>
      <c r="D45" s="153">
        <f t="shared" si="37"/>
        <v>1.5785324837725313E-3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3.7902298005128792E-4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0.2067479536230501</v>
      </c>
      <c r="D48" s="153">
        <f t="shared" si="40"/>
        <v>0.22830467660269341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1.5792995802879992E-2</v>
      </c>
      <c r="D50" s="156">
        <f t="shared" si="41"/>
        <v>2.0232994960849439E-2</v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0.1095241023247608</v>
      </c>
      <c r="D51" s="153">
        <f t="shared" si="42"/>
        <v>0.10595777294217949</v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264</v>
      </c>
      <c r="C52" s="153">
        <f>IF(D6="","",C16/(C6-D6))</f>
        <v>0.18998161609687811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>
        <f>IF(C36="","",(C27-C36)/C27)</f>
        <v>0.24054125361195433</v>
      </c>
      <c r="D54" s="156">
        <f t="shared" ref="D54:M54" si="44">IF(D36="","",(D27-D36)/D27)</f>
        <v>0.27242491285597292</v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>
        <f t="shared" ref="C55:M55" si="45">IF(OR(C22="",C35=""),"",IF(C35&lt;=0,"-",C22/C35))</f>
        <v>2.9729097204175368</v>
      </c>
      <c r="D55" s="157">
        <f t="shared" si="45"/>
        <v>2.9732033660634771</v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1.3157207230966536E-2</v>
      </c>
      <c r="D56" s="153">
        <f t="shared" si="46"/>
        <v>6.9141487036622033E-3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>
        <f t="shared" ref="C57:M57" si="47">IF(C28="","",C28/C31)</f>
        <v>3.3364014362803656</v>
      </c>
      <c r="D57" s="158">
        <f t="shared" si="47"/>
        <v>3.055211094750502</v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27043707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25617273</v>
      </c>
      <c r="K3" s="24"/>
    </row>
    <row r="4" spans="1:11" ht="15" customHeight="1" x14ac:dyDescent="0.4">
      <c r="B4" s="3" t="s">
        <v>24</v>
      </c>
      <c r="C4" s="87"/>
      <c r="D4" s="65">
        <f>D3-I3</f>
        <v>1426434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3.3364014362803656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9421125.0292501859</v>
      </c>
      <c r="E6" s="56">
        <f>1-D6/D3</f>
        <v>0.65163337151781053</v>
      </c>
      <c r="F6" s="87"/>
      <c r="G6" s="87"/>
      <c r="H6" s="1" t="s">
        <v>29</v>
      </c>
      <c r="I6" s="63">
        <f>(C24+C25)/I28</f>
        <v>3.0177109762109176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1.1109210722973635</v>
      </c>
      <c r="E7" s="11" t="str">
        <f>Dashboard!H3</f>
        <v>HKD</v>
      </c>
      <c r="H7" s="1" t="s">
        <v>30</v>
      </c>
      <c r="I7" s="63">
        <f>C24/I28</f>
        <v>2.8904485389230459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19073030</v>
      </c>
      <c r="D11" s="198">
        <f>Inputs!D48</f>
        <v>0.9</v>
      </c>
      <c r="E11" s="88">
        <f t="shared" ref="E11:E22" si="0">C11*D11</f>
        <v>17165727</v>
      </c>
      <c r="F11" s="112"/>
      <c r="G11" s="87"/>
      <c r="H11" s="3" t="s">
        <v>38</v>
      </c>
      <c r="I11" s="40">
        <f>Inputs!C73</f>
        <v>510909</v>
      </c>
      <c r="J11" s="87"/>
      <c r="K11" s="24"/>
    </row>
    <row r="12" spans="1:11" ht="13.9" x14ac:dyDescent="0.4">
      <c r="B12" s="1" t="s">
        <v>135</v>
      </c>
      <c r="C12" s="40">
        <f>Inputs!C49</f>
        <v>20972</v>
      </c>
      <c r="D12" s="198">
        <f>Inputs!D49</f>
        <v>0.8</v>
      </c>
      <c r="E12" s="88">
        <f t="shared" si="0"/>
        <v>16777.600000000002</v>
      </c>
      <c r="F12" s="112"/>
      <c r="G12" s="87"/>
      <c r="H12" s="3" t="s">
        <v>39</v>
      </c>
      <c r="I12" s="40">
        <f>Inputs!C74</f>
        <v>28807</v>
      </c>
      <c r="J12" s="87"/>
      <c r="K12" s="24"/>
    </row>
    <row r="13" spans="1:11" ht="13.9" x14ac:dyDescent="0.4">
      <c r="B13" s="3" t="s">
        <v>116</v>
      </c>
      <c r="C13" s="40">
        <f>Inputs!C50</f>
        <v>308472</v>
      </c>
      <c r="D13" s="198">
        <f>Inputs!D50</f>
        <v>0.6</v>
      </c>
      <c r="E13" s="88">
        <f t="shared" si="0"/>
        <v>185083.19999999998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9668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549384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854264</v>
      </c>
      <c r="D17" s="198">
        <f>Inputs!D54</f>
        <v>0.1</v>
      </c>
      <c r="E17" s="88">
        <f t="shared" si="0"/>
        <v>85426.400000000009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2139247</v>
      </c>
      <c r="D18" s="198">
        <f>Inputs!D55</f>
        <v>0.5</v>
      </c>
      <c r="E18" s="88">
        <f t="shared" si="0"/>
        <v>1069623.5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6163233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19402474</v>
      </c>
      <c r="D24" s="62">
        <f>IF(E24=0,0,E24/C24)</f>
        <v>0.89512233336841485</v>
      </c>
      <c r="E24" s="88">
        <f>SUM(E11:E14)</f>
        <v>17367587.800000001</v>
      </c>
      <c r="F24" s="113">
        <f>E24/$E$28</f>
        <v>0.93764117623485133</v>
      </c>
      <c r="G24" s="87"/>
    </row>
    <row r="25" spans="2:10" ht="15" customHeight="1" x14ac:dyDescent="0.4">
      <c r="B25" s="23" t="s">
        <v>54</v>
      </c>
      <c r="C25" s="61">
        <f>SUM(C15:C17)</f>
        <v>854264</v>
      </c>
      <c r="D25" s="62">
        <f>IF(E25=0,0,E25/C25)</f>
        <v>0.1</v>
      </c>
      <c r="E25" s="88">
        <f>SUM(E15:E17)</f>
        <v>85426.400000000009</v>
      </c>
      <c r="F25" s="113">
        <f>E25/$E$28</f>
        <v>4.6119997261513147E-3</v>
      </c>
      <c r="G25" s="87"/>
      <c r="H25" s="23" t="s">
        <v>55</v>
      </c>
      <c r="I25" s="63">
        <f>E28/I28</f>
        <v>2.7593765144056333</v>
      </c>
    </row>
    <row r="26" spans="2:10" ht="15" customHeight="1" x14ac:dyDescent="0.4">
      <c r="B26" s="23" t="s">
        <v>56</v>
      </c>
      <c r="C26" s="61">
        <f>C18+C19+C20</f>
        <v>2139247</v>
      </c>
      <c r="D26" s="62">
        <f>IF(E26=0,0,E26/C26)</f>
        <v>0.5</v>
      </c>
      <c r="E26" s="88">
        <f>E18+E19+E20</f>
        <v>1069623.5</v>
      </c>
      <c r="F26" s="113">
        <f>E26/$E$28</f>
        <v>5.7746824038997425E-2</v>
      </c>
      <c r="G26" s="87"/>
      <c r="H26" s="23" t="s">
        <v>57</v>
      </c>
      <c r="I26" s="63">
        <f>E24/($I$28-I22)</f>
        <v>31.612838743028558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59</v>
      </c>
      <c r="I27" s="63">
        <f>(E25+E24)/$I$28</f>
        <v>2.600031284370909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22395985</v>
      </c>
      <c r="D28" s="57">
        <f>E28/C28</f>
        <v>0.82705171038469616</v>
      </c>
      <c r="E28" s="70">
        <f>SUM(E24:E27)</f>
        <v>18522637.699999999</v>
      </c>
      <c r="F28" s="112"/>
      <c r="G28" s="87"/>
      <c r="H28" s="78" t="s">
        <v>15</v>
      </c>
      <c r="I28" s="206">
        <f>Inputs!C77</f>
        <v>6712617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300000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756896</v>
      </c>
      <c r="J30" s="87"/>
    </row>
    <row r="31" spans="2:10" ht="15" customHeight="1" x14ac:dyDescent="0.4">
      <c r="B31" s="3" t="s">
        <v>62</v>
      </c>
      <c r="C31" s="40">
        <f>Inputs!C61</f>
        <v>1800</v>
      </c>
      <c r="D31" s="198">
        <f>Inputs!D61</f>
        <v>0.6</v>
      </c>
      <c r="E31" s="88">
        <f t="shared" ref="E31:E42" si="1">C31*D31</f>
        <v>1080</v>
      </c>
      <c r="F31" s="112"/>
      <c r="G31" s="87"/>
      <c r="H31" s="3" t="s">
        <v>63</v>
      </c>
      <c r="I31" s="40">
        <f>Inputs!C79</f>
        <v>52067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808963</v>
      </c>
      <c r="J34" s="87"/>
    </row>
    <row r="35" spans="2:10" ht="13.9" x14ac:dyDescent="0.4">
      <c r="B35" s="3" t="s">
        <v>69</v>
      </c>
      <c r="C35" s="40">
        <f>Inputs!C65</f>
        <v>113569</v>
      </c>
      <c r="D35" s="198">
        <f>Inputs!D65</f>
        <v>0.1</v>
      </c>
      <c r="E35" s="88">
        <f t="shared" si="1"/>
        <v>11356.900000000001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45190</v>
      </c>
      <c r="D36" s="198">
        <f>Inputs!D66</f>
        <v>0.2</v>
      </c>
      <c r="E36" s="88">
        <f t="shared" si="1"/>
        <v>9038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9938000</v>
      </c>
      <c r="D38" s="198">
        <f>Inputs!D68</f>
        <v>0.1</v>
      </c>
      <c r="E38" s="88">
        <f t="shared" si="1"/>
        <v>993800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2304520</v>
      </c>
      <c r="D39" s="198">
        <f>Inputs!D69</f>
        <v>0.05</v>
      </c>
      <c r="E39" s="88">
        <f t="shared" si="1"/>
        <v>115226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15244</v>
      </c>
      <c r="D40" s="198">
        <f>Inputs!D70</f>
        <v>0.05</v>
      </c>
      <c r="E40" s="88">
        <f t="shared" si="1"/>
        <v>762.2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382475</v>
      </c>
      <c r="D41" s="198">
        <f>Inputs!D71</f>
        <v>0.9</v>
      </c>
      <c r="E41" s="88">
        <f t="shared" si="1"/>
        <v>344227.5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112402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1043898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301800</v>
      </c>
      <c r="D44" s="62">
        <f>IF(E44=0,0,E44/C44)</f>
        <v>3.5785288270377734E-3</v>
      </c>
      <c r="E44" s="88">
        <f>SUM(E30:E31)</f>
        <v>1080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113569</v>
      </c>
      <c r="D45" s="62">
        <f>IF(E45=0,0,E45/C45)</f>
        <v>0.10000000000000002</v>
      </c>
      <c r="E45" s="88">
        <f>SUM(E32:E35)</f>
        <v>11356.900000000001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12287710</v>
      </c>
      <c r="D46" s="62">
        <f>IF(E46=0,0,E46/C46)</f>
        <v>9.0990428647811511E-2</v>
      </c>
      <c r="E46" s="88">
        <f>E36+E37+E38+E39</f>
        <v>1118064</v>
      </c>
      <c r="F46" s="87"/>
      <c r="G46" s="87"/>
      <c r="H46" s="23" t="s">
        <v>80</v>
      </c>
      <c r="I46" s="63">
        <f>(E44+E24)/E64</f>
        <v>12.786620649951743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510121</v>
      </c>
      <c r="D47" s="62">
        <f>IF(E47=0,0,E47/C47)</f>
        <v>0.67628993905367552</v>
      </c>
      <c r="E47" s="88">
        <f>E40+E41+E42</f>
        <v>344989.7</v>
      </c>
      <c r="F47" s="87"/>
      <c r="G47" s="87"/>
      <c r="H47" s="23" t="s">
        <v>82</v>
      </c>
      <c r="I47" s="63">
        <f>(E44+E45+E24+E25)/$I$49</f>
        <v>2.0390515392135731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13213200</v>
      </c>
      <c r="D48" s="82">
        <f>E48/C48</f>
        <v>0.1116679229861048</v>
      </c>
      <c r="E48" s="76">
        <f>SUM(E30:E42)</f>
        <v>1475490.5999999999</v>
      </c>
      <c r="F48" s="87"/>
      <c r="G48" s="87"/>
      <c r="H48" s="80" t="s">
        <v>84</v>
      </c>
      <c r="I48" s="207">
        <f>Inputs!C82</f>
        <v>1852861</v>
      </c>
      <c r="J48" s="8"/>
    </row>
    <row r="49" spans="2:11" ht="15" customHeight="1" thickTop="1" x14ac:dyDescent="0.4">
      <c r="B49" s="3" t="s">
        <v>13</v>
      </c>
      <c r="C49" s="61">
        <f>C28+C48</f>
        <v>35609185</v>
      </c>
      <c r="D49" s="56">
        <f>E49/C49</f>
        <v>0.56160028093875225</v>
      </c>
      <c r="E49" s="88">
        <f>E28+E48</f>
        <v>19998128.300000001</v>
      </c>
      <c r="F49" s="87"/>
      <c r="G49" s="87"/>
      <c r="H49" s="3" t="s">
        <v>85</v>
      </c>
      <c r="I49" s="52">
        <f>I28+I48</f>
        <v>8565478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1426434</v>
      </c>
      <c r="D53" s="29">
        <f>IF(E53=0, 0,E53/C53)</f>
        <v>1.8375998923883901</v>
      </c>
      <c r="E53" s="88">
        <f>IF(C53=0,0,MAX(C53,C53*Dashboard!G23))</f>
        <v>2621214.9648991409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1358347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160559</v>
      </c>
      <c r="D61" s="56">
        <f t="shared" ref="D61:D70" si="2">IF(E61=0,0,E61/C61)</f>
        <v>0.13375083302711155</v>
      </c>
      <c r="E61" s="52">
        <f>E14+E15+(E19*G19)+(E20*G20)+E31+E32+(E35*G35)+(E36*G36)+(E37*G37)</f>
        <v>21474.9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19373030</v>
      </c>
      <c r="D62" s="107">
        <f t="shared" si="2"/>
        <v>0.88606309906091096</v>
      </c>
      <c r="E62" s="118">
        <f>E11+E30</f>
        <v>17165727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19533589</v>
      </c>
      <c r="D63" s="29">
        <f t="shared" si="2"/>
        <v>0.87987936574277259</v>
      </c>
      <c r="E63" s="61">
        <f>E61+E62</f>
        <v>17187201.899999999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1358347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18175242</v>
      </c>
      <c r="D65" s="29">
        <f t="shared" si="2"/>
        <v>0.87090201605018513</v>
      </c>
      <c r="E65" s="61">
        <f>E63-E64</f>
        <v>15828854.899999999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16075596</v>
      </c>
      <c r="D68" s="29">
        <f t="shared" si="2"/>
        <v>0.17485674559126779</v>
      </c>
      <c r="E68" s="68">
        <f>E49-E63</f>
        <v>2810926.4000000022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7207131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8868465</v>
      </c>
      <c r="D70" s="29">
        <f t="shared" si="2"/>
        <v>-0.49571200878618765</v>
      </c>
      <c r="E70" s="68">
        <f>E68-E69</f>
        <v>-4396204.5999999978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19532203</v>
      </c>
      <c r="D74" s="209"/>
      <c r="E74" s="238">
        <f>Inputs!E91</f>
        <v>19532203</v>
      </c>
      <c r="F74" s="209"/>
      <c r="H74" s="238">
        <f>Inputs!F91</f>
        <v>19532203</v>
      </c>
      <c r="I74" s="209"/>
      <c r="K74" s="24"/>
    </row>
    <row r="75" spans="1:11" ht="15" customHeight="1" x14ac:dyDescent="0.4">
      <c r="B75" s="104" t="s">
        <v>105</v>
      </c>
      <c r="C75" s="77">
        <f>Data!C8</f>
        <v>6868850</v>
      </c>
      <c r="D75" s="159">
        <f>C75/$C$74</f>
        <v>0.35166796085418528</v>
      </c>
      <c r="E75" s="238">
        <f>Inputs!E92</f>
        <v>6868850</v>
      </c>
      <c r="F75" s="160">
        <f>E75/E74</f>
        <v>0.35166796085418528</v>
      </c>
      <c r="H75" s="238">
        <f>Inputs!F92</f>
        <v>6868850</v>
      </c>
      <c r="I75" s="160">
        <f>H75/$H$74</f>
        <v>0.35166796085418528</v>
      </c>
      <c r="K75" s="24"/>
    </row>
    <row r="76" spans="1:11" ht="15" customHeight="1" x14ac:dyDescent="0.4">
      <c r="B76" s="35" t="s">
        <v>95</v>
      </c>
      <c r="C76" s="161">
        <f>C74-C75</f>
        <v>12663353</v>
      </c>
      <c r="D76" s="210"/>
      <c r="E76" s="162">
        <f>E74-E75</f>
        <v>12663353</v>
      </c>
      <c r="F76" s="210"/>
      <c r="H76" s="162">
        <f>H74-H75</f>
        <v>12663353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8571978</v>
      </c>
      <c r="D77" s="159">
        <f>C77/$C$74</f>
        <v>0.43886385985236792</v>
      </c>
      <c r="E77" s="238">
        <f>Inputs!E93</f>
        <v>8571978</v>
      </c>
      <c r="F77" s="160">
        <f>E77/E74</f>
        <v>0.43886385985236792</v>
      </c>
      <c r="H77" s="238">
        <f>Inputs!F93</f>
        <v>8571978</v>
      </c>
      <c r="I77" s="160">
        <f>H77/$H$74</f>
        <v>0.43886385985236792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4091375</v>
      </c>
      <c r="D79" s="258">
        <f>C79/C74</f>
        <v>0.20946817929344683</v>
      </c>
      <c r="E79" s="259">
        <f>E76-E77-E78</f>
        <v>4091375</v>
      </c>
      <c r="F79" s="258">
        <f>E79/E74</f>
        <v>0.20946817929344683</v>
      </c>
      <c r="G79" s="260"/>
      <c r="H79" s="259">
        <f>H76-H77-H78</f>
        <v>4091375</v>
      </c>
      <c r="I79" s="258">
        <f>H79/H74</f>
        <v>0.20946817929344683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53132</v>
      </c>
      <c r="D81" s="159">
        <f>C81/$C$74</f>
        <v>2.7202256703967287E-3</v>
      </c>
      <c r="E81" s="180">
        <f>E74*F81</f>
        <v>53131.999999999993</v>
      </c>
      <c r="F81" s="160">
        <f>I81</f>
        <v>2.7202256703967287E-3</v>
      </c>
      <c r="H81" s="238">
        <f>Inputs!F94</f>
        <v>53131.999999999993</v>
      </c>
      <c r="I81" s="160">
        <f>H81/$H$74</f>
        <v>2.7202256703967287E-3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4038243</v>
      </c>
      <c r="D83" s="164">
        <f>C83/$C$74</f>
        <v>0.2067479536230501</v>
      </c>
      <c r="E83" s="165">
        <f>E79-E81-E82-E80</f>
        <v>4038243</v>
      </c>
      <c r="F83" s="164">
        <f>E83/E74</f>
        <v>0.2067479536230501</v>
      </c>
      <c r="H83" s="165">
        <f>H79-H81-H82-H80</f>
        <v>4038243</v>
      </c>
      <c r="I83" s="164">
        <f>H83/$H$74</f>
        <v>0.2067479536230501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3028682.25</v>
      </c>
      <c r="D85" s="258">
        <f>C85/$C$74</f>
        <v>0.15506096521728757</v>
      </c>
      <c r="E85" s="264">
        <f>E83*(1-F84)</f>
        <v>3028682.25</v>
      </c>
      <c r="F85" s="258">
        <f>E85/E74</f>
        <v>0.15506096521728757</v>
      </c>
      <c r="G85" s="260"/>
      <c r="H85" s="264">
        <f>H83*(1-I84)</f>
        <v>3028682.25</v>
      </c>
      <c r="I85" s="258">
        <f>H85/$H$74</f>
        <v>0.15506096521728757</v>
      </c>
      <c r="K85" s="24"/>
    </row>
    <row r="86" spans="1:11" ht="15" customHeight="1" x14ac:dyDescent="0.4">
      <c r="B86" s="87" t="s">
        <v>160</v>
      </c>
      <c r="C86" s="167">
        <f>C85*Data!C4/Common_Shares</f>
        <v>0.33402428308722287</v>
      </c>
      <c r="D86" s="209"/>
      <c r="E86" s="168">
        <f>E85*Data!C4/Common_Shares</f>
        <v>0.33402428308722287</v>
      </c>
      <c r="F86" s="209"/>
      <c r="H86" s="168">
        <f>H85*Data!C4/Common_Shares</f>
        <v>0.33402428308722287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6.0944782792604582E-2</v>
      </c>
      <c r="D87" s="209"/>
      <c r="E87" s="262">
        <f>E86*Exchange_Rate/Dashboard!G3</f>
        <v>6.0944782792604582E-2</v>
      </c>
      <c r="F87" s="209"/>
      <c r="H87" s="262">
        <f>H86*Exchange_Rate/Dashboard!G3</f>
        <v>6.0944782792604582E-2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0.31159999999999999</v>
      </c>
      <c r="D88" s="166">
        <f>C88/C86</f>
        <v>0.93286630876064991</v>
      </c>
      <c r="E88" s="170">
        <f>Inputs!E98</f>
        <v>0.31159999999999999</v>
      </c>
      <c r="F88" s="166">
        <f>E88/E86</f>
        <v>0.93286630876064991</v>
      </c>
      <c r="H88" s="170">
        <f>Inputs!F98</f>
        <v>0.31159999999999999</v>
      </c>
      <c r="I88" s="166">
        <f>H88/H86</f>
        <v>0.93286630876064991</v>
      </c>
      <c r="K88" s="24"/>
    </row>
    <row r="89" spans="1:11" ht="15" customHeight="1" x14ac:dyDescent="0.4">
      <c r="B89" s="87" t="s">
        <v>221</v>
      </c>
      <c r="C89" s="261">
        <f>C88*Exchange_Rate/Dashboard!G3</f>
        <v>5.6853334561956612E-2</v>
      </c>
      <c r="D89" s="209"/>
      <c r="E89" s="261">
        <f>E88*Exchange_Rate/Dashboard!G3</f>
        <v>5.6853334561956612E-2</v>
      </c>
      <c r="F89" s="209"/>
      <c r="H89" s="261">
        <f>H88*Exchange_Rate/Dashboard!G3</f>
        <v>5.6853334561956612E-2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209</v>
      </c>
      <c r="F93" s="144">
        <f>FV(E87,D93,0,-(E86/(C93-D94)))*Exchange_Rate</f>
        <v>7.246230996794357</v>
      </c>
      <c r="H93" s="87" t="s">
        <v>209</v>
      </c>
      <c r="I93" s="144">
        <f>FV(H87,D93,0,-(H86/(C93-D94)))*Exchange_Rate</f>
        <v>7.246230996794357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6.6304237574638343</v>
      </c>
      <c r="H94" s="87" t="s">
        <v>210</v>
      </c>
      <c r="I94" s="144">
        <f>FV(H89,D93,0,-(H88/(C93-D94)))*Exchange_Rate</f>
        <v>6.6304237574638343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32666202.085630935</v>
      </c>
      <c r="D97" s="213"/>
      <c r="E97" s="123">
        <f>PV(C94,D93,0,-F93)</f>
        <v>3.6026574702034915</v>
      </c>
      <c r="F97" s="213"/>
      <c r="H97" s="123">
        <f>PV(C94,D93,0,-I93)</f>
        <v>3.6026574702034915</v>
      </c>
      <c r="I97" s="123">
        <f>PV(C93,D93,0,-I93)</f>
        <v>4.7914088109136541</v>
      </c>
      <c r="K97" s="24"/>
    </row>
    <row r="98" spans="2:11" ht="15" customHeight="1" x14ac:dyDescent="0.4">
      <c r="B98" s="28" t="s">
        <v>144</v>
      </c>
      <c r="C98" s="91">
        <f>-E53*Exchange_Rate</f>
        <v>-2802584.7065441557</v>
      </c>
      <c r="D98" s="213"/>
      <c r="E98" s="213"/>
      <c r="F98" s="213"/>
      <c r="H98" s="123">
        <f>C98*Data!$C$4/Common_Shares</f>
        <v>-0.30908866302981319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12223709.735794343</v>
      </c>
      <c r="D99" s="214"/>
      <c r="E99" s="145">
        <f>IF(H99&gt;0,H99*(1-C94),H99*(1+C94))</f>
        <v>1.145898847259484</v>
      </c>
      <c r="F99" s="214"/>
      <c r="H99" s="145">
        <f>C99*Data!$C$4/Common_Shares</f>
        <v>1.3481162908935107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42087327.114881121</v>
      </c>
      <c r="D100" s="109">
        <f>MIN(F100*(1-C94),E100)</f>
        <v>3.8594899198126491</v>
      </c>
      <c r="E100" s="109">
        <f>MAX(E97+H98+E99,0)</f>
        <v>4.4394676544331624</v>
      </c>
      <c r="F100" s="109">
        <f>(E100+H100)/2</f>
        <v>4.5405763762501756</v>
      </c>
      <c r="H100" s="109">
        <f>MAX(C100*Data!$C$4/Common_Shares,0)</f>
        <v>4.641685098067188</v>
      </c>
      <c r="I100" s="109">
        <f>MAX(I97+H98+H99,0)</f>
        <v>5.8304364387773511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29890126.670057729</v>
      </c>
      <c r="D103" s="109">
        <f>MIN(F103*(1-C94),E103)</f>
        <v>2.8020185717730759</v>
      </c>
      <c r="E103" s="123">
        <f>PV(C94,D93,0,-F94)</f>
        <v>3.2964924373800892</v>
      </c>
      <c r="F103" s="109">
        <f>(E103+H103)/2</f>
        <v>3.2964924373800892</v>
      </c>
      <c r="H103" s="123">
        <f>PV(C94,D93,0,-I94)</f>
        <v>3.2964924373800892</v>
      </c>
      <c r="I103" s="109">
        <f>PV(C93,D93,0,-I94)</f>
        <v>4.3842199932154626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35071948.662284851</v>
      </c>
      <c r="D106" s="109">
        <f>(D100+D103)/2</f>
        <v>3.3307542457928623</v>
      </c>
      <c r="E106" s="123">
        <f>(E100+E103)/2</f>
        <v>3.8679800459066258</v>
      </c>
      <c r="F106" s="109">
        <f>(F100+F103)/2</f>
        <v>3.9185344068151324</v>
      </c>
      <c r="H106" s="123">
        <f>(H100+H103)/2</f>
        <v>3.9690887677236386</v>
      </c>
      <c r="I106" s="123">
        <f>(I100+I103)/2</f>
        <v>5.1073282159964073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2024-12-16T03:18:52Z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