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E88729-EAED-4165-9893-F9DF63C4D01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<sst xmlns="http://schemas.openxmlformats.org/spreadsheetml/2006/main" count="391" uniqueCount="272">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</sst>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5.9399611420101597E-2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4112.9711064000003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0.45345924071023569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-26.16309762213902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5.9399611420101597E-2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0.91012070986882165</v>
      </c>
      <c r="D29" s="129">
        <f>G29*(1+G20)</f>
        <v>1.637638975893593</v>
      </c>
      <c r="E29" s="87"/>
      <c r="F29" s="131">
        <f>IF(Fin_Analysis!C108="Profit",Fin_Analysis!F100,IF(Fin_Analysis!C108="Dividend",Fin_Analysis!F103,Fin_Analysis!F106))</f>
        <v>1.0707302469044961</v>
      </c>
      <c r="G29" s="274">
        <f>IF(Fin_Analysis!C108="Profit",Fin_Analysis!I100,IF(Fin_Analysis!C108="Dividend",Fin_Analysis!I103,Fin_Analysis!I106))</f>
        <v>1.4240338920813853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4.4812531008576082</v>
      </c>
      <c r="D52" s="153">
        <f t="shared" ref="D52:M52" si="43">IF(E6="","",D16/(D6-E6))</f>
        <v>-5.819015167285702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0.10874927403338228</v>
      </c>
      <c r="D54" s="156">
        <f t="shared" ref="D54:M54" si="44">IF(D36="","",(D27-D36)/D27)</f>
        <v>0.16502593515322755</v>
      </c>
      <c r="E54" s="156">
        <f t="shared" si="44"/>
        <v>0.176649435381835</v>
      </c>
      <c r="F54" s="156">
        <f t="shared" si="44"/>
        <v>1.5416065535995078</v>
      </c>
      <c r="G54" s="156">
        <f t="shared" si="44"/>
        <v>1.6868958703404804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-0.53839203570202543</v>
      </c>
      <c r="D55" s="157">
        <f t="shared" si="45"/>
        <v>-28.169831951149764</v>
      </c>
      <c r="E55" s="157">
        <f t="shared" si="45"/>
        <v>0.34666952040489135</v>
      </c>
      <c r="F55" s="157">
        <f t="shared" si="45"/>
        <v>0.13256467959853904</v>
      </c>
      <c r="G55" s="157">
        <f t="shared" si="45"/>
        <v>0.1488859647249248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-4.2363371114353045E-2</v>
      </c>
      <c r="D56" s="153">
        <f t="shared" si="46"/>
        <v>-1.8081800440937962E-2</v>
      </c>
      <c r="E56" s="153">
        <f t="shared" si="46"/>
        <v>0.31017316762488378</v>
      </c>
      <c r="F56" s="153">
        <f t="shared" si="46"/>
        <v>0.38388895116596355</v>
      </c>
      <c r="G56" s="153">
        <f t="shared" si="46"/>
        <v>0.67547153335661891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9.0125804646393277</v>
      </c>
      <c r="D57" s="158">
        <f t="shared" si="47"/>
        <v>5.7272795295805388</v>
      </c>
      <c r="E57" s="158">
        <f t="shared" si="47"/>
        <v>5.5416670782714181</v>
      </c>
      <c r="F57" s="158">
        <f t="shared" si="47"/>
        <v>0.61146228461091978</v>
      </c>
      <c r="G57" s="158">
        <f t="shared" si="47"/>
        <v>0.55054248818999008</v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6255199.4357668348</v>
      </c>
      <c r="E6" s="56">
        <f>1-D6/D3</f>
        <v>0.26263950188709528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2.9269419992950412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-3.8221773829785637E-2</v>
      </c>
      <c r="D87" s="209"/>
      <c r="E87" s="262">
        <f>E86*Exchange_Rate/Dashboard!G3</f>
        <v>-3.8221773829785637E-2</v>
      </c>
      <c r="F87" s="209"/>
      <c r="H87" s="262">
        <f>H86*Exchange_Rate/Dashboard!G3</f>
        <v>-3.8221773829785637E-2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5.9399611420101597E-2</v>
      </c>
      <c r="D89" s="209"/>
      <c r="E89" s="261">
        <f>E88*Exchange_Rate/Dashboard!G3</f>
        <v>5.9399611420101597E-2</v>
      </c>
      <c r="F89" s="209"/>
      <c r="H89" s="261">
        <f>H88*Exchange_Rate/Dashboard!G3</f>
        <v>5.9399611420101597E-2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-0.85461825400517322</v>
      </c>
      <c r="H93" s="87" t="s">
        <v>209</v>
      </c>
      <c r="I93" s="144">
        <f>FV(H87,D93,0,-(H86/(C93-D94)))*Exchange_Rate</f>
        <v>-0.85461825400517322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2.1536209779850073</v>
      </c>
      <c r="H94" s="87" t="s">
        <v>210</v>
      </c>
      <c r="I94" s="144">
        <f>FV(H89,D93,0,-(H88/(C93-D94)))*Exchange_Rate</f>
        <v>2.1536209779850073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-970881.25580360554</v>
      </c>
      <c r="D97" s="213"/>
      <c r="E97" s="123">
        <f>PV(C94,D93,0,-F93)</f>
        <v>-0.42489631345261669</v>
      </c>
      <c r="F97" s="213"/>
      <c r="H97" s="123">
        <f>PV(C94,D93,0,-I93)</f>
        <v>-0.42489631345261669</v>
      </c>
      <c r="I97" s="123">
        <f>PV(C93,D93,0,-I93)</f>
        <v>-0.56509728078217913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5052559.75620538</v>
      </c>
      <c r="D99" s="214"/>
      <c r="E99" s="145">
        <f>IF(H99&gt;0,H99*(1-C94),H99*(1+C94))</f>
        <v>1.8795212091242981</v>
      </c>
      <c r="F99" s="214"/>
      <c r="H99" s="145">
        <f>C99*Data!$C$4/Common_Shares</f>
        <v>2.2112014224991743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4081678.5004017744</v>
      </c>
      <c r="D100" s="109">
        <f>MIN(F100*(1-C94),E100)</f>
        <v>1.3773952520052517</v>
      </c>
      <c r="E100" s="109">
        <f>MAX(E97+H98+E99,0)</f>
        <v>1.4546248956716814</v>
      </c>
      <c r="F100" s="109">
        <f>(E100+H100)/2</f>
        <v>1.6204650023591196</v>
      </c>
      <c r="H100" s="109">
        <f>MAX(C100*Data!$C$4/Common_Shares,0)</f>
        <v>1.7863051090465578</v>
      </c>
      <c r="I100" s="109">
        <f>MAX(I97+H98+H99,0)</f>
        <v>1.6461041417169953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2446601.4268148504</v>
      </c>
      <c r="D103" s="109">
        <f>MIN(F103*(1-C94),E103)</f>
        <v>0.91012070986882165</v>
      </c>
      <c r="E103" s="123">
        <f>PV(C94,D93,0,-F94)</f>
        <v>1.0707302469044961</v>
      </c>
      <c r="F103" s="109">
        <f>(E103+H103)/2</f>
        <v>1.0707302469044961</v>
      </c>
      <c r="H103" s="123">
        <f>PV(C94,D93,0,-I94)</f>
        <v>1.0707302469044961</v>
      </c>
      <c r="I103" s="109">
        <f>PV(C93,D93,0,-I94)</f>
        <v>1.4240338920813853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2885197.9818929085</v>
      </c>
      <c r="D106" s="109">
        <f>(D100+D103)/2</f>
        <v>1.1437579809370366</v>
      </c>
      <c r="E106" s="123">
        <f>(E100+E103)/2</f>
        <v>1.2626775712880889</v>
      </c>
      <c r="F106" s="109">
        <f>(F100+F103)/2</f>
        <v>1.3455976246318078</v>
      </c>
      <c r="H106" s="123">
        <f>(H100+H103)/2</f>
        <v>1.4285176779755271</v>
      </c>
      <c r="I106" s="123">
        <f>(I100+I103)/2</f>
        <v>1.5350690168991903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