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D660170-53E1-4384-AB56-6A7FC0D9F75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<sst xmlns="http://schemas.openxmlformats.org/spreadsheetml/2006/main" count="390" uniqueCount="267">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</sst>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4373586962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2.2535211267605635E-2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60">
        <f>C97/C91</f>
        <v>1.6858097812807804E-3</v>
      </c>
      <c r="E97" s="254"/>
      <c r="F97" s="253">
        <f>F91*D97</f>
        <v>60156.862745098035</v>
      </c>
    </row>
    <row r="98" spans="2:7" ht="13.9" x14ac:dyDescent="0.4">
      <c r="B98" s="86" t="s">
        <v>208</v>
      </c>
      <c r="C98" s="238">
        <f>C44</f>
        <v>0.8</v>
      </c>
      <c r="D98" s="267"/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0027.HK</v>
      </c>
      <c r="D3" s="277"/>
      <c r="E3" s="87"/>
      <c r="F3" s="3" t="s">
        <v>1</v>
      </c>
      <c r="G3" s="132">
        <v>35.5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銀河娛樂</v>
      </c>
      <c r="D4" s="279"/>
      <c r="E4" s="87"/>
      <c r="F4" s="3" t="s">
        <v>3</v>
      </c>
      <c r="G4" s="282">
        <f>Inputs!C10</f>
        <v>4373586962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155262.33715100001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0.47272944175123971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260</v>
      </c>
      <c r="G24" s="269">
        <f>G3/(Fin_Analysis!H86*G7)</f>
        <v>32.601508239900348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0.45917617239296266</v>
      </c>
    </row>
    <row r="26" spans="1:8" ht="15.75" customHeight="1" x14ac:dyDescent="0.4">
      <c r="B26" s="138" t="s">
        <v>174</v>
      </c>
      <c r="C26" s="172">
        <f>Fin_Analysis!I83</f>
        <v>0.17445779619528262</v>
      </c>
      <c r="F26" s="141" t="s">
        <v>194</v>
      </c>
      <c r="G26" s="179">
        <f>Fin_Analysis!H88*Exchange_Rate/G3</f>
        <v>1.4084507042253521E-2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8.1092715943429265</v>
      </c>
      <c r="D29" s="129">
        <f>G29*(1+G20)</f>
        <v>16.031122728609699</v>
      </c>
      <c r="E29" s="87"/>
      <c r="F29" s="131">
        <f>IF(Fin_Analysis!C108="Profit",Fin_Analysis!F100,IF(Fin_Analysis!C108="Dividend",Fin_Analysis!F103,Fin_Analysis!F106))</f>
        <v>9.5403195227563842</v>
      </c>
      <c r="G29" s="273">
        <f>IF(Fin_Analysis!C108="Profit",Fin_Analysis!I100,IF(Fin_Analysis!C108="Dividend",Fin_Analysis!I103,Fin_Analysis!I106))</f>
        <v>13.940106720530173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60">
        <f>C78/$C$74</f>
        <v>1.6858097812807804E-3</v>
      </c>
      <c r="E78" s="181">
        <f>E74*F78</f>
        <v>60156.862745098035</v>
      </c>
      <c r="F78" s="161">
        <f>I78</f>
        <v>1.6858097812807804E-3</v>
      </c>
      <c r="H78" s="239">
        <f>Inputs!F97</f>
        <v>60156.862745098035</v>
      </c>
      <c r="I78" s="161">
        <f>H78/$H$74</f>
        <v>1.6858097812807804E-3</v>
      </c>
      <c r="K78" s="24"/>
    </row>
    <row r="79" spans="1:11" ht="15" customHeight="1" x14ac:dyDescent="0.4">
      <c r="B79" s="257" t="s">
        <v>233</v>
      </c>
      <c r="C79" s="258">
        <f>C76-C77-C78</f>
        <v>6225396.1372549022</v>
      </c>
      <c r="D79" s="259">
        <f>C79/C74</f>
        <v>0.17445779619528262</v>
      </c>
      <c r="E79" s="260">
        <f>E76-E77-E78</f>
        <v>6225396.1372549022</v>
      </c>
      <c r="F79" s="259">
        <f>E79/E74</f>
        <v>0.17445779619528262</v>
      </c>
      <c r="G79" s="261"/>
      <c r="H79" s="260">
        <f>H76-H77-H78</f>
        <v>6225396.1372549022</v>
      </c>
      <c r="I79" s="259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6225396.1372549022</v>
      </c>
      <c r="F83" s="165">
        <f>E83/E74</f>
        <v>0.17445779619528262</v>
      </c>
      <c r="H83" s="166">
        <f>H79-H81-H82-H80</f>
        <v>6225396.1372549022</v>
      </c>
      <c r="I83" s="165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4762428.0449999999</v>
      </c>
      <c r="D85" s="259">
        <f>C85/$C$74</f>
        <v>0.13346021408939118</v>
      </c>
      <c r="E85" s="265">
        <f>E83*(1-F84)</f>
        <v>4762428.0449999999</v>
      </c>
      <c r="F85" s="259">
        <f>E85/E74</f>
        <v>0.13346021408939118</v>
      </c>
      <c r="G85" s="261"/>
      <c r="H85" s="265">
        <f>H83*(1-I84)</f>
        <v>4762428.0449999999</v>
      </c>
      <c r="I85" s="259">
        <f>H85/$H$74</f>
        <v>0.13346021408939118</v>
      </c>
      <c r="K85" s="24"/>
    </row>
    <row r="86" spans="1:11" ht="15" customHeight="1" x14ac:dyDescent="0.4">
      <c r="B86" s="87" t="s">
        <v>161</v>
      </c>
      <c r="C86" s="168">
        <f>C85*Data!C4/Common_Shares</f>
        <v>1.0889066769172429</v>
      </c>
      <c r="D86" s="210"/>
      <c r="E86" s="169">
        <f>E85*Data!C4/Common_Shares</f>
        <v>1.0889066769172429</v>
      </c>
      <c r="F86" s="210"/>
      <c r="H86" s="169">
        <f>H85*Data!C4/Common_Shares</f>
        <v>1.0889066769172429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3.0673427518795572E-2</v>
      </c>
      <c r="D87" s="210"/>
      <c r="E87" s="263">
        <f>E86*Exchange_Rate/Dashboard!G3</f>
        <v>3.0673427518795572E-2</v>
      </c>
      <c r="F87" s="210"/>
      <c r="H87" s="263">
        <f>H86*Exchange_Rate/Dashboard!G3</f>
        <v>3.0673427518795572E-2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0.45917617239296266</v>
      </c>
      <c r="H88" s="171">
        <f>Inputs!F98</f>
        <v>0.5</v>
      </c>
      <c r="I88" s="167">
        <f>H88/H86</f>
        <v>0.45917617239296266</v>
      </c>
      <c r="K88" s="24"/>
    </row>
    <row r="89" spans="1:11" ht="15" customHeight="1" x14ac:dyDescent="0.4">
      <c r="B89" s="87" t="s">
        <v>222</v>
      </c>
      <c r="C89" s="262">
        <f>C88*Exchange_Rate/Dashboard!G3</f>
        <v>2.2535211267605635E-2</v>
      </c>
      <c r="D89" s="210"/>
      <c r="E89" s="262">
        <f>E88*Exchange_Rate/Dashboard!G3</f>
        <v>1.4084507042253521E-2</v>
      </c>
      <c r="F89" s="210"/>
      <c r="H89" s="262">
        <f>H88*Exchange_Rate/Dashboard!G3</f>
        <v>1.4084507042253521E-2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19.188990243142616</v>
      </c>
      <c r="H93" s="87" t="s">
        <v>210</v>
      </c>
      <c r="I93" s="144">
        <f>FV(H87,D93,0,-(H86/C93))*Exchange_Rate</f>
        <v>19.188990243142616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8.1245030743826465</v>
      </c>
      <c r="H94" s="87" t="s">
        <v>211</v>
      </c>
      <c r="I94" s="144">
        <f>FV(H89,D93,0,-(H88/C93))*Exchange_Rate</f>
        <v>8.1245030743826465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41725417.078041382</v>
      </c>
      <c r="D97" s="214"/>
      <c r="E97" s="123">
        <f>PV(C94,D93,0,-F93)</f>
        <v>9.5403195227563842</v>
      </c>
      <c r="F97" s="214"/>
      <c r="H97" s="123">
        <f>PV(C94,D93,0,-I93)</f>
        <v>9.5403195227563842</v>
      </c>
      <c r="I97" s="123">
        <f>PV(C93,D93,0,-I93)</f>
        <v>13.940106720530173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41725417.078041382</v>
      </c>
      <c r="D100" s="109">
        <f>MIN(F100*(1-C94),E100)</f>
        <v>8.1092715943429265</v>
      </c>
      <c r="E100" s="109">
        <f>MAX(E97-H98+E99,0)</f>
        <v>9.5403195227563842</v>
      </c>
      <c r="F100" s="109">
        <f>(E100+H100)/2</f>
        <v>9.5403195227563842</v>
      </c>
      <c r="H100" s="109">
        <f>MAX(C100*Data!$C$4/Common_Shares,0)</f>
        <v>9.5403195227563842</v>
      </c>
      <c r="I100" s="109">
        <f>MAX(I97-H98+H99,0)</f>
        <v>13.940106720530173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17666290.67163083</v>
      </c>
      <c r="D103" s="109">
        <f>MIN(F103*(1-C94),E103)</f>
        <v>3.433416827276111</v>
      </c>
      <c r="E103" s="123">
        <f>PV(C94,D93,0,-F94)</f>
        <v>4.0393139144424834</v>
      </c>
      <c r="F103" s="109">
        <f>(E103+H103)/2</f>
        <v>4.0393139144424834</v>
      </c>
      <c r="H103" s="123">
        <f>PV(C94,D93,0,-I94)</f>
        <v>4.0393139144424834</v>
      </c>
      <c r="I103" s="109">
        <f>PV(C93,D93,0,-I94)</f>
        <v>5.9021573554993569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29695853.87483611</v>
      </c>
      <c r="D106" s="109">
        <f>(D100+D103)/2</f>
        <v>5.7713442108095183</v>
      </c>
      <c r="E106" s="123">
        <f>(E100+E103)/2</f>
        <v>6.7898167185994343</v>
      </c>
      <c r="F106" s="109">
        <f>(F100+F103)/2</f>
        <v>6.7898167185994343</v>
      </c>
      <c r="H106" s="123">
        <f>(H100+H103)/2</f>
        <v>6.7898167185994343</v>
      </c>
      <c r="I106" s="123">
        <f>(I100+I103)/2</f>
        <v>9.9211320380147647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