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692930E-D654-4158-9D6B-7749CE4E812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3" i="4"/>
  <c r="E93" i="4"/>
  <c r="F92" i="4"/>
  <c r="F91" i="4"/>
  <c r="F97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3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5" i="4" l="1"/>
  <c r="F95" i="4"/>
  <c r="F96" i="4"/>
  <c r="F94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<sst xmlns="http://schemas.openxmlformats.org/spreadsheetml/2006/main" count="390" uniqueCount="269">
  <si>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</si>
  <si>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</si>
  <si>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</si>
  <si>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</si>
  <si>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</si>
  <si>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</si>
  <si>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</si>
  <si>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</si>
  <si>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</si>
  <si>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</si>
  <si>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</si>
  <si>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</si>
  <si>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</si>
  <si>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</si>
  <si>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</si>
  <si>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</si>
  <si>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</si>
  <si>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</si>
  <si>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</si>
  <si>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</si>
  <si>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</si>
  <si>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</si>
  <si>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</si>
  <si>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</si>
  <si>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</si>
  <si>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</si>
  <si>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</si>
  <si>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</si>
  <si>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</si>
  <si>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</si>
  <si>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</si>
  <si>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</si>
  <si>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</si>
  <si>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</si>
  <si>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</si>
  <si>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</si>
  <si>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</si>
  <si>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</si>
  <si>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</si>
  <si>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</si>
  <si>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</si>
  <si>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</si>
  <si>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</si>
  <si>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</si>
  <si>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</si>
  <si>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</si>
  <si>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</si>
  <si>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</si>
  <si>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</si>
  <si>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</si>
  <si>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</si>
  <si>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</si>
  <si>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</si>
  <si>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</si>
  <si>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</si>
  <si>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</si>
  <si>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</si>
  <si>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</si>
  <si>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</si>
  <si>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</si>
  <si>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</si>
  <si>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</si>
  <si>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</si>
  <si>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</si>
  <si>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</si>
  <si>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</si>
  <si>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</si>
  <si>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</si>
  <si>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</si>
  <si>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</si>
  <si>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</si>
  <si>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</si>
  <si>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</si>
  <si>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</si>
  <si>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</si>
  <si>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</si>
  <si>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</si>
  <si>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</si>
  <si>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</si>
  <si>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</si>
  <si>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</si>
  <si>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</si>
  <si>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</si>
  <si>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</si>
  <si>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</si>
  <si>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</si>
  <si>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</si>
  <si>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</si>
  <si>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</si>
  <si>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</si>
  <si>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</si>
  <si>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</si>
  <si>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</si>
  <si>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</si>
  <si>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</si>
  <si>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</si>
  <si>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</si>
  <si>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</si>
  <si>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</si>
  <si>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</si>
  <si>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</si>
  <si>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</si>
  <si>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</si>
  <si>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</si>
  <si>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</si>
  <si>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</si>
  <si>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</si>
  <si>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</si>
  <si>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</si>
  <si>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</si>
  <si>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</si>
  <si>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</si>
  <si>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</si>
  <si>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</si>
  <si>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</si>
  <si>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</si>
  <si>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</si>
  <si>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</si>
  <si>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</si>
  <si>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</si>
  <si>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</si>
  <si>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</si>
  <si>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</si>
  <si>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</si>
  <si>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</si>
  <si>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</si>
  <si>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</si>
  <si>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</si>
  <si>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</si>
  <si>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</si>
  <si>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</si>
  <si>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</si>
  <si>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</si>
  <si>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</si>
  <si>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</si>
  <si>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</si>
  <si>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</si>
  <si>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</si>
  <si>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</si>
  <si>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</si>
  <si>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</si>
  <si>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</si>
  <si>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</si>
  <si>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</si>
  <si>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</si>
  <si>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</si>
  <si>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</si>
  <si>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</si>
  <si>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</si>
  <si>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</si>
  <si>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</si>
  <si>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</si>
  <si>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</si>
  <si>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</si>
  <si>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</si>
  <si>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</si>
  <si>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</si>
  <si>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</si>
  <si>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</si>
  <si>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</si>
  <si>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</si>
  <si>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</si>
  <si>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</si>
  <si>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</si>
  <si>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</si>
  <si>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</si>
  <si>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</si>
  <si>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</si>
  <si>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</si>
  <si>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</si>
  <si>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</si>
  <si>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</si>
  <si>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</si>
  <si>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</si>
  <si>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</si>
  <si>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</si>
  <si>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</si>
  <si>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</si>
  <si>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</si>
  <si>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</si>
  <si>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</si>
  <si>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</si>
  <si>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</si>
  <si>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</si>
  <si>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</si>
  <si>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</si>
  <si>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</si>
  <si>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</si>
  <si>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</si>
  <si>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</si>
  <si>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</si>
  <si>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</si>
  <si>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</si>
  <si>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</si>
  <si>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</si>
  <si>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</si>
  <si>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</si>
  <si>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</si>
  <si>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</si>
  <si>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</si>
  <si>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</si>
  <si>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</si>
  <si>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</si>
  <si>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</si>
  <si>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</si>
  <si>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</si>
  <si>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</si>
  <si>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</si>
  <si>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</si>
  <si>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</si>
  <si>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</si>
  <si>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</si>
  <si>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</si>
  <si>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</si>
  <si>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</si>
  <si>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</si>
  <si>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</si>
  <si>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</si>
  <si>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</si>
  <si>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</si>
  <si>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</si>
  <si>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</si>
  <si>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</si>
  <si>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</si>
  <si>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</si>
  <si>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</si>
  <si>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</si>
  <si>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</si>
  <si>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</si>
  <si>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</si>
  <si>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</si>
  <si>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</si>
  <si>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</si>
  <si>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</si>
  <si>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</si>
  <si>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</si>
  <si>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</si>
  <si>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</si>
  <si>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</si>
  <si>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</si>
  <si>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</si>
  <si>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</si>
  <si>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</si>
  <si>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</si>
  <si>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</si>
  <si>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</si>
  <si>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</si>
  <si>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</si>
  <si>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</si>
  <si>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</si>
  <si>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</si>
  <si>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</si>
  <si>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</si>
  <si>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</si>
  <si>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</si>
  <si>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</si>
  <si>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</si>
  <si>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</si>
  <si>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</si>
  <si>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</si>
  <si>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0268.HK</t>
  </si>
  <si>
    <t>金蝶国际</t>
  </si>
  <si>
    <t>C0009</t>
  </si>
  <si>
    <t>CNY</t>
  </si>
  <si>
    <t>CN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</si>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</sst>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0.35834792051449244</c:v>
                </c:pt>
                <c:pt idx="1">
                  <c:v>0.74823479113580682</c:v>
                </c:pt>
                <c:pt idx="2">
                  <c:v>0</c:v>
                </c:pt>
                <c:pt idx="3">
                  <c:v>0</c:v>
                </c:pt>
                <c:pt idx="4">
                  <c:v>3.8655956702792868E-3</c:v>
                </c:pt>
                <c:pt idx="5">
                  <c:v>0</c:v>
                </c:pt>
                <c:pt idx="6">
                  <c:v>-0.11044830732057855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260</v>
      </c>
    </row>
    <row r="5" spans="1:5" ht="13.9" x14ac:dyDescent="0.4">
      <c r="B5" s="141" t="s">
        <v>195</v>
      </c>
      <c r="C5" s="192" t="s">
        <v>261</v>
      </c>
    </row>
    <row r="6" spans="1:5" ht="13.9" x14ac:dyDescent="0.4">
      <c r="B6" s="141" t="s">
        <v>163</v>
      </c>
      <c r="C6" s="190">
        <v>45603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262</v>
      </c>
    </row>
    <row r="10" spans="1:5" ht="13.9" x14ac:dyDescent="0.4">
      <c r="B10" s="140" t="s">
        <v>217</v>
      </c>
      <c r="C10" s="194">
        <v>3585854271</v>
      </c>
    </row>
    <row r="11" spans="1:5" ht="13.9" x14ac:dyDescent="0.4">
      <c r="B11" s="140" t="s">
        <v>218</v>
      </c>
      <c r="C11" s="193" t="s">
        <v>263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264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266</v>
      </c>
      <c r="D19" s="24"/>
    </row>
    <row r="20" spans="2:13" ht="13.9" x14ac:dyDescent="0.4">
      <c r="B20" s="242" t="s">
        <v>228</v>
      </c>
      <c r="C20" s="243" t="s">
        <v>266</v>
      </c>
      <c r="D20" s="24"/>
    </row>
    <row r="21" spans="2:13" ht="13.9" x14ac:dyDescent="0.4">
      <c r="B21" s="225" t="s">
        <v>231</v>
      </c>
      <c r="C21" s="243" t="s">
        <v>265</v>
      </c>
      <c r="D21" s="24"/>
    </row>
    <row r="22" spans="2:13" ht="78.75" x14ac:dyDescent="0.4">
      <c r="B22" s="227" t="s">
        <v>230</v>
      </c>
      <c r="C22" s="244" t="s">
        <v>267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5679073</v>
      </c>
      <c r="D25" s="150">
        <v>4865769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2035084</v>
      </c>
      <c r="D26" s="151">
        <v>1868136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2809609</v>
      </c>
      <c r="D27" s="151">
        <v>2530441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>
        <v>1439671</v>
      </c>
      <c r="D28" s="151">
        <v>1295476</v>
      </c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21953</v>
      </c>
      <c r="D29" s="151">
        <v>7661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-59916</v>
      </c>
      <c r="D30" s="151">
        <v>-63246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0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0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5679073</v>
      </c>
      <c r="D91" s="210"/>
      <c r="E91" s="252">
        <f>C91</f>
        <v>5679073</v>
      </c>
      <c r="F91" s="252">
        <f>C91</f>
        <v>5679073</v>
      </c>
    </row>
    <row r="92" spans="2:8" ht="13.9" x14ac:dyDescent="0.4">
      <c r="B92" s="104" t="s">
        <v>105</v>
      </c>
      <c r="C92" s="77">
        <f>C26</f>
        <v>2035084</v>
      </c>
      <c r="D92" s="160">
        <f>C92/C91</f>
        <v>0.35834792051449244</v>
      </c>
      <c r="E92" s="253">
        <f>E91*D92</f>
        <v>2035084</v>
      </c>
      <c r="F92" s="253">
        <f>F91*D92</f>
        <v>2035084</v>
      </c>
    </row>
    <row r="93" spans="2:8" ht="13.9" x14ac:dyDescent="0.4">
      <c r="B93" s="104" t="s">
        <v>247</v>
      </c>
      <c r="C93" s="77">
        <f>C27+C28</f>
        <v>4249280</v>
      </c>
      <c r="D93" s="160">
        <f>C93/C91</f>
        <v>0.74823479113580682</v>
      </c>
      <c r="E93" s="253">
        <f>E91*D93</f>
        <v>4249280</v>
      </c>
      <c r="F93" s="253">
        <f>F91*D93</f>
        <v>4249280</v>
      </c>
    </row>
    <row r="94" spans="2:8" ht="13.9" x14ac:dyDescent="0.4">
      <c r="B94" s="104" t="s">
        <v>257</v>
      </c>
      <c r="C94" s="77">
        <f>C29</f>
        <v>21953</v>
      </c>
      <c r="D94" s="160">
        <f>C94/C91</f>
        <v>3.8655956702792868E-3</v>
      </c>
      <c r="E94" s="254"/>
      <c r="F94" s="253">
        <f>F91*D94</f>
        <v>21953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</v>
      </c>
      <c r="D98" s="267"/>
      <c r="E98" s="255">
        <f>F98</f>
        <v>0</v>
      </c>
      <c r="F98" s="255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0268.HK : 金蝶国际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0268.HK</v>
      </c>
      <c r="D3" s="277"/>
      <c r="E3" s="87"/>
      <c r="F3" s="3" t="s">
        <v>1</v>
      </c>
      <c r="G3" s="132">
        <v>8.75</v>
      </c>
      <c r="H3" s="134" t="s">
        <v>268</v>
      </c>
    </row>
    <row r="4" spans="1:10" ht="15.75" customHeight="1" x14ac:dyDescent="0.4">
      <c r="B4" s="35" t="s">
        <v>195</v>
      </c>
      <c r="C4" s="278" t="str">
        <f>Inputs!C5</f>
        <v>金蝶国际</v>
      </c>
      <c r="D4" s="279"/>
      <c r="E4" s="87"/>
      <c r="F4" s="3" t="s">
        <v>2</v>
      </c>
      <c r="G4" s="282">
        <f>Inputs!C10</f>
        <v>3585854271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45603</v>
      </c>
      <c r="D5" s="281"/>
      <c r="E5" s="34"/>
      <c r="F5" s="35" t="s">
        <v>99</v>
      </c>
      <c r="G5" s="274">
        <f>G3*G4/1000000</f>
        <v>31376.22487125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C0009</v>
      </c>
      <c r="E7" s="87"/>
      <c r="F7" s="35" t="s">
        <v>5</v>
      </c>
      <c r="G7" s="133">
        <v>1.0725016991297405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0.35834792051449244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0.74823479113580682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3.8655956702792868E-3</v>
      </c>
      <c r="F24" s="140" t="s">
        <v>259</v>
      </c>
      <c r="G24" s="269">
        <f>G3/(Fin_Analysis!H86*G7)</f>
        <v>-62.187761013947259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</v>
      </c>
    </row>
    <row r="26" spans="1:8" ht="15.75" customHeight="1" x14ac:dyDescent="0.4">
      <c r="B26" s="138" t="s">
        <v>173</v>
      </c>
      <c r="C26" s="172">
        <f>Fin_Analysis!I83</f>
        <v>-0.11044830732057855</v>
      </c>
      <c r="F26" s="141" t="s">
        <v>193</v>
      </c>
      <c r="G26" s="179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3">
        <f>IF(Fin_Analysis!C108="Profit",Fin_Analysis!I100,IF(Fin_Analysis!C108="Dividend",Fin_Analysis!I103,Fin_Analysis!I106))</f>
        <v>0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-605291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5679073</v>
      </c>
      <c r="D6" s="201">
        <f>IF(Inputs!D25="","",Inputs!D25)</f>
        <v>4865769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0.1671480910828278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2035084</v>
      </c>
      <c r="D8" s="200">
        <f>IF(Inputs!D26="","",Inputs!D26)</f>
        <v>1868136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3643989</v>
      </c>
      <c r="D9" s="152">
        <f t="shared" si="2"/>
        <v>2997633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2809609</v>
      </c>
      <c r="D10" s="200">
        <f>IF(Inputs!D27="","",Inputs!D27)</f>
        <v>2530441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>
        <f>IF(Inputs!C28="","",Inputs!C28)</f>
        <v>1439671</v>
      </c>
      <c r="D11" s="200">
        <f>IF(Inputs!D28="","",Inputs!D28)</f>
        <v>1295476</v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-0.10658271165029927</v>
      </c>
      <c r="D13" s="230">
        <f t="shared" si="3"/>
        <v>-0.17022674113793729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-605291</v>
      </c>
      <c r="D14" s="231">
        <f t="shared" ref="D14:M14" si="4">IF(D6="","",D9-D10-MAX(D11,0)-MAX(D12,0))</f>
        <v>-828284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0.26922287524568866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21953</v>
      </c>
      <c r="D17" s="200">
        <f>IF(Inputs!D29="","",Inputs!D29)</f>
        <v>7661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-627244</v>
      </c>
      <c r="D22" s="162">
        <f t="shared" ref="D22:M22" si="8">IF(D6="","",D14-MAX(D16,0)-MAX(D17,0)-ABS(MAX(D21,0)-MAX(D19,0)))</f>
        <v>-835945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-8.2836230490433913E-2</v>
      </c>
      <c r="D23" s="154">
        <f t="shared" si="9"/>
        <v>-0.12885090722555881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-470433</v>
      </c>
      <c r="D24" s="77">
        <f>IF(D6="","",D22*(1-Fin_Analysis!$I$84))</f>
        <v>-626958.75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0.24965876941664822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0.35834792051449244</v>
      </c>
      <c r="D42" s="157">
        <f t="shared" si="34"/>
        <v>0.38393437912897221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0.74823479113580682</v>
      </c>
      <c r="D43" s="154">
        <f t="shared" si="35"/>
        <v>0.78629236200896513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3.8655956702792868E-3</v>
      </c>
      <c r="D45" s="154">
        <f t="shared" si="37"/>
        <v>1.5744684961411033E-3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-0.11044830732057855</v>
      </c>
      <c r="D48" s="154">
        <f t="shared" si="40"/>
        <v>-0.17180120963407838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-3.4999139091007644E-2</v>
      </c>
      <c r="D55" s="154">
        <f t="shared" si="45"/>
        <v>-9.1644785243048289E-3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5679073</v>
      </c>
      <c r="D74" s="210"/>
      <c r="E74" s="239">
        <f>Inputs!E91</f>
        <v>5679073</v>
      </c>
      <c r="F74" s="210"/>
      <c r="H74" s="239">
        <f>Inputs!F91</f>
        <v>5679073</v>
      </c>
      <c r="I74" s="210"/>
      <c r="K74" s="24"/>
    </row>
    <row r="75" spans="1:11" ht="15" customHeight="1" x14ac:dyDescent="0.4">
      <c r="B75" s="104" t="s">
        <v>105</v>
      </c>
      <c r="C75" s="77">
        <f>Data!C8</f>
        <v>2035084</v>
      </c>
      <c r="D75" s="160">
        <f>C75/$C$74</f>
        <v>0.35834792051449244</v>
      </c>
      <c r="E75" s="239">
        <f>Inputs!E92</f>
        <v>2035084</v>
      </c>
      <c r="F75" s="161">
        <f>E75/E74</f>
        <v>0.35834792051449244</v>
      </c>
      <c r="H75" s="239">
        <f>Inputs!F92</f>
        <v>2035084</v>
      </c>
      <c r="I75" s="161">
        <f>H75/$H$74</f>
        <v>0.35834792051449244</v>
      </c>
      <c r="K75" s="24"/>
    </row>
    <row r="76" spans="1:11" ht="15" customHeight="1" x14ac:dyDescent="0.4">
      <c r="B76" s="35" t="s">
        <v>95</v>
      </c>
      <c r="C76" s="162">
        <f>C74-C75</f>
        <v>3643989</v>
      </c>
      <c r="D76" s="211"/>
      <c r="E76" s="163">
        <f>E74-E75</f>
        <v>3643989</v>
      </c>
      <c r="F76" s="211"/>
      <c r="H76" s="163">
        <f>H74-H75</f>
        <v>3643989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4249280</v>
      </c>
      <c r="D77" s="160">
        <f>C77/$C$74</f>
        <v>0.74823479113580682</v>
      </c>
      <c r="E77" s="239">
        <f>Inputs!E93</f>
        <v>4249280</v>
      </c>
      <c r="F77" s="161">
        <f>E77/E74</f>
        <v>0.74823479113580682</v>
      </c>
      <c r="H77" s="239">
        <f>Inputs!F93</f>
        <v>4249280</v>
      </c>
      <c r="I77" s="161">
        <f>H77/$H$74</f>
        <v>0.74823479113580682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-605291</v>
      </c>
      <c r="D79" s="259">
        <f>C79/C74</f>
        <v>-0.10658271165029927</v>
      </c>
      <c r="E79" s="260">
        <f>E76-E77-E78</f>
        <v>-605291</v>
      </c>
      <c r="F79" s="259">
        <f>E79/E74</f>
        <v>-0.10658271165029927</v>
      </c>
      <c r="G79" s="261"/>
      <c r="H79" s="260">
        <f>H76-H77-H78</f>
        <v>-605291</v>
      </c>
      <c r="I79" s="259">
        <f>H79/H74</f>
        <v>-0.10658271165029927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21953</v>
      </c>
      <c r="D81" s="160">
        <f>C81/$C$74</f>
        <v>3.8655956702792868E-3</v>
      </c>
      <c r="E81" s="181">
        <f>E74*F81</f>
        <v>21953</v>
      </c>
      <c r="F81" s="161">
        <f>I81</f>
        <v>3.8655956702792868E-3</v>
      </c>
      <c r="H81" s="239">
        <f>Inputs!F94</f>
        <v>21953</v>
      </c>
      <c r="I81" s="161">
        <f>H81/$H$74</f>
        <v>3.8655956702792868E-3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-627244</v>
      </c>
      <c r="D83" s="165">
        <f>C83/$C$74</f>
        <v>-0.11044830732057855</v>
      </c>
      <c r="E83" s="166">
        <f>E79-E81-E82-E80</f>
        <v>-627244</v>
      </c>
      <c r="F83" s="165">
        <f>E83/E74</f>
        <v>-0.11044830732057855</v>
      </c>
      <c r="H83" s="166">
        <f>H79-H81-H82-H80</f>
        <v>-627244</v>
      </c>
      <c r="I83" s="165">
        <f>H83/$H$74</f>
        <v>-0.11044830732057855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-470433</v>
      </c>
      <c r="D85" s="259">
        <f>C85/$C$74</f>
        <v>-8.2836230490433913E-2</v>
      </c>
      <c r="E85" s="265">
        <f>E83*(1-F84)</f>
        <v>-470433</v>
      </c>
      <c r="F85" s="259">
        <f>E85/E74</f>
        <v>-8.2836230490433913E-2</v>
      </c>
      <c r="G85" s="261"/>
      <c r="H85" s="265">
        <f>H83*(1-I84)</f>
        <v>-470433</v>
      </c>
      <c r="I85" s="259">
        <f>H85/$H$74</f>
        <v>-8.2836230490433913E-2</v>
      </c>
      <c r="K85" s="24"/>
    </row>
    <row r="86" spans="1:11" ht="15" customHeight="1" x14ac:dyDescent="0.4">
      <c r="B86" s="87" t="s">
        <v>160</v>
      </c>
      <c r="C86" s="168">
        <f>C85*Data!C4/Common_Shares</f>
        <v>-0.13119133251023296</v>
      </c>
      <c r="D86" s="210"/>
      <c r="E86" s="169">
        <f>E85*Data!C4/Common_Shares</f>
        <v>-0.13119133251023296</v>
      </c>
      <c r="F86" s="210"/>
      <c r="H86" s="169">
        <f>H85*Data!C4/Common_Shares</f>
        <v>-0.13119133251023296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-1.6080334517522239E-2</v>
      </c>
      <c r="D87" s="210"/>
      <c r="E87" s="263">
        <f>E86*Exchange_Rate/Dashboard!G3</f>
        <v>-1.6080334517522239E-2</v>
      </c>
      <c r="F87" s="210"/>
      <c r="H87" s="263">
        <f>H86*Exchange_Rate/Dashboard!G3</f>
        <v>-1.6080334517522239E-2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</v>
      </c>
      <c r="D88" s="167">
        <f>C88/C86</f>
        <v>0</v>
      </c>
      <c r="E88" s="171">
        <f>Inputs!E98</f>
        <v>0</v>
      </c>
      <c r="F88" s="167">
        <f>E88/E86</f>
        <v>0</v>
      </c>
      <c r="H88" s="171">
        <f>Inputs!F98</f>
        <v>0</v>
      </c>
      <c r="I88" s="167">
        <f>H88/H86</f>
        <v>0</v>
      </c>
      <c r="K88" s="24"/>
    </row>
    <row r="89" spans="1:11" ht="15" customHeight="1" x14ac:dyDescent="0.4">
      <c r="B89" s="87" t="s">
        <v>221</v>
      </c>
      <c r="C89" s="262">
        <f>C88*Exchange_Rate/Dashboard!G3</f>
        <v>0</v>
      </c>
      <c r="D89" s="210"/>
      <c r="E89" s="262">
        <f>E88*Exchange_Rate/Dashboard!G3</f>
        <v>0</v>
      </c>
      <c r="F89" s="210"/>
      <c r="H89" s="262">
        <f>H88*Exchange_Rate/Dashboard!G3</f>
        <v>0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-1.8020583116230244</v>
      </c>
      <c r="H93" s="87" t="s">
        <v>209</v>
      </c>
      <c r="I93" s="144">
        <f>FV(H87,D93,0,-(H86/C93))*Exchange_Rate</f>
        <v>-1.8020583116230244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0</v>
      </c>
      <c r="H94" s="87" t="s">
        <v>210</v>
      </c>
      <c r="I94" s="144">
        <f>FV(H89,D93,0,-(H88/C93))*Exchange_Rate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-3212715.5402747048</v>
      </c>
      <c r="D97" s="214"/>
      <c r="E97" s="123">
        <f>PV(C94,D93,0,-F93)</f>
        <v>-0.89594146818988363</v>
      </c>
      <c r="F97" s="214"/>
      <c r="H97" s="123">
        <f>PV(C94,D93,0,-I93)</f>
        <v>-0.89594146818988363</v>
      </c>
      <c r="I97" s="123">
        <f>PV(C93,D93,0,-I93)</f>
        <v>-1.2729018366897817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-3212715.5402747048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0</v>
      </c>
      <c r="D106" s="109">
        <f>(D100+D103)/2</f>
        <v>0</v>
      </c>
      <c r="E106" s="123">
        <f>(E100+E103)/2</f>
        <v>0</v>
      </c>
      <c r="F106" s="109">
        <f>(F100+F103)/2</f>
        <v>0</v>
      </c>
      <c r="H106" s="123">
        <f>(H100+H103)/2</f>
        <v>0</v>
      </c>
      <c r="I106" s="123">
        <f>(I100+I103)/2</f>
        <v>0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2024-12-03T08:41:29Z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