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55CE4E29-E16D-43DA-9765-79EEEB561E09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F94" i="4"/>
  <c r="F93" i="4"/>
  <c r="F91" i="4"/>
  <c r="F92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D44" i="4"/>
  <c r="C44" i="4"/>
  <c r="D32" i="4"/>
  <c r="C32" i="4"/>
  <c r="D31" i="4"/>
  <c r="C31" i="4"/>
  <c r="D27" i="4"/>
  <c r="C27" i="4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95" i="4" l="1"/>
  <c r="F96" i="4"/>
  <c r="E92" i="4"/>
  <c r="F97" i="4"/>
  <c r="E95" i="4"/>
  <c r="D53" i="4"/>
  <c r="D33" i="2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l="1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03" i="3" l="1"/>
  <c r="H75" i="3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s="1"/>
  <c r="E103" i="3" s="1"/>
  <c r="E77" i="3" l="1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93" i="3" s="1"/>
  <c r="E97" i="3" s="1"/>
  <c r="F85" i="3"/>
  <c r="I85" i="3" l="1"/>
  <c r="H86" i="3"/>
  <c r="G24" i="1" s="1"/>
  <c r="E100" i="3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D106" i="3" l="1"/>
  <c r="C29" i="1" s="1"/>
</calcChain>
</file>

<file path=xl/sharedStrings.xml><?xml version="1.0" encoding="utf-8"?>
<sst xmlns="http://schemas.openxmlformats.org/spreadsheetml/2006/main" count="391" uniqueCount="268">
  <si>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</si>
  <si>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</si>
  <si>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</si>
  <si>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</si>
  <si>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</si>
  <si>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</si>
  <si>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</si>
  <si>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</si>
  <si>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</si>
  <si>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</si>
  <si>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</si>
  <si>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</si>
  <si>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</si>
  <si>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</si>
  <si>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</si>
  <si>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</si>
  <si>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</si>
  <si>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</si>
  <si>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</si>
  <si>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</si>
  <si>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</si>
  <si>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</si>
  <si>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</si>
  <si>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</si>
  <si>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</si>
  <si>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</si>
  <si>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</si>
  <si>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</si>
  <si>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</si>
  <si>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</si>
  <si>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</si>
  <si>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</si>
  <si>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</si>
  <si>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</si>
  <si>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</si>
  <si>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</si>
  <si>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</si>
  <si>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</si>
  <si>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</si>
  <si>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</si>
  <si>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</si>
  <si>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</si>
  <si>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</si>
  <si>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</si>
  <si>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</si>
  <si>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</si>
  <si>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</si>
  <si>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</si>
  <si>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</si>
  <si>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</si>
  <si>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</si>
  <si>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</si>
  <si>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</si>
  <si>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</si>
  <si>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</si>
  <si>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</si>
  <si>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</si>
  <si>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</si>
  <si>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</si>
  <si>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</si>
  <si>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</si>
  <si>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</si>
  <si>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</si>
  <si>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</si>
  <si>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</si>
  <si>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</si>
  <si>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</si>
  <si>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</si>
  <si>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</si>
  <si>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</si>
  <si>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</si>
  <si>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</si>
  <si>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</si>
  <si>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</si>
  <si>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</si>
  <si>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</si>
  <si>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</si>
  <si>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</si>
  <si>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</si>
  <si>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</si>
  <si>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</si>
  <si>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</si>
  <si>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</si>
  <si>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</si>
  <si>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</si>
  <si>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</si>
  <si>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</si>
  <si>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</si>
  <si>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</si>
  <si>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</si>
  <si>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</si>
  <si>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</si>
  <si>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</si>
  <si>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</si>
  <si>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</si>
  <si>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</si>
  <si>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</si>
  <si>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</si>
  <si>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</si>
  <si>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</si>
  <si>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</si>
  <si>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</si>
  <si>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</si>
  <si>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</si>
  <si>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</si>
  <si>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</si>
  <si>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</si>
  <si>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</si>
  <si>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</si>
  <si>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</si>
  <si>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</si>
  <si>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</si>
  <si>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</si>
  <si>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</si>
  <si>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</si>
  <si>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</si>
  <si>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</si>
  <si>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</si>
  <si>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</si>
  <si>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</si>
  <si>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</si>
  <si>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</si>
  <si>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</si>
  <si>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</si>
  <si>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</si>
  <si>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</si>
  <si>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</si>
  <si>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</si>
  <si>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</si>
  <si>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</si>
  <si>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</si>
  <si>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</si>
  <si>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</si>
  <si>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</si>
  <si>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</si>
  <si>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</si>
  <si>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</si>
  <si>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</si>
  <si>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</si>
  <si>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</si>
  <si>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</si>
  <si>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</si>
  <si>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</si>
  <si>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</si>
  <si>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</si>
  <si>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</si>
  <si>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</si>
  <si>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</si>
  <si>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</si>
  <si>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</si>
  <si>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</si>
  <si>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</si>
  <si>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</si>
  <si>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</si>
  <si>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</si>
  <si>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</si>
  <si>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</si>
  <si>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</si>
  <si>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</si>
  <si>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</si>
  <si>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</si>
  <si>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</si>
  <si>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</si>
  <si>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</si>
  <si>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</si>
  <si>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</si>
  <si>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</si>
  <si>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</si>
  <si>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</si>
  <si>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</si>
  <si>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</si>
  <si>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</si>
  <si>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</si>
  <si>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</si>
  <si>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</si>
  <si>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</si>
  <si>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</si>
  <si>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</si>
  <si>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</si>
  <si>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</si>
  <si>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</si>
  <si>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</si>
  <si>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</si>
  <si>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</si>
  <si>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</si>
  <si>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</si>
  <si>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</si>
  <si>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</si>
  <si>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</si>
  <si>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</si>
  <si>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</si>
  <si>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</si>
  <si>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</si>
  <si>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</si>
  <si>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</si>
  <si>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</si>
  <si>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</si>
  <si>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</si>
  <si>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</si>
  <si>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</si>
  <si>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</si>
  <si>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</si>
  <si>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</si>
  <si>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</si>
  <si>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</si>
  <si>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</si>
  <si>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</si>
  <si>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</si>
  <si>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</si>
  <si>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</si>
  <si>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</si>
  <si>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</si>
  <si>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</si>
  <si>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</si>
  <si>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</si>
  <si>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</si>
  <si>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</si>
  <si>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</si>
  <si>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</si>
  <si>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</si>
  <si>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</si>
  <si>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</si>
  <si>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</si>
  <si>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</si>
  <si>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</si>
  <si>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</si>
  <si>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</si>
  <si>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</si>
  <si>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</si>
  <si>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</si>
  <si>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</si>
  <si>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</si>
  <si>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</si>
  <si>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</si>
  <si>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</si>
  <si>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</si>
  <si>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</si>
  <si>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</si>
  <si>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</si>
  <si>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</si>
  <si>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</si>
  <si>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</si>
  <si>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</si>
  <si>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</si>
  <si>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</si>
  <si>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</si>
  <si>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</si>
  <si>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</si>
  <si>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</si>
  <si>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</si>
  <si>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</si>
  <si>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</si>
  <si>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</si>
  <si>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</si>
  <si>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</si>
  <si>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</si>
  <si>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</si>
  <si>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</si>
  <si>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</si>
  <si>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</si>
  <si>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0831.HK</t>
  </si>
  <si>
    <t>利亞零售</t>
  </si>
  <si>
    <t>C0007</t>
  </si>
  <si>
    <t>HK Tax Rate</t>
  </si>
  <si>
    <t>disagree</t>
  </si>
  <si>
    <t>Commodity-type Business</t>
  </si>
  <si>
    <t>Avg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</si>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</sst>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6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0.46570281556597115</c:v>
                </c:pt>
                <c:pt idx="1">
                  <c:v>0.49096154234108225</c:v>
                </c:pt>
                <c:pt idx="2">
                  <c:v>0</c:v>
                </c:pt>
                <c:pt idx="3">
                  <c:v>3.9525516276755275E-2</c:v>
                </c:pt>
                <c:pt idx="4">
                  <c:v>0</c:v>
                </c:pt>
                <c:pt idx="5">
                  <c:v>0.11560295610891069</c:v>
                </c:pt>
                <c:pt idx="6">
                  <c:v>-0.11179283029271934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215</v>
      </c>
    </row>
    <row r="4" spans="1:5" ht="13.9" x14ac:dyDescent="0.4">
      <c r="B4" s="141" t="s">
        <v>195</v>
      </c>
      <c r="C4" s="189" t="s">
        <v>260</v>
      </c>
    </row>
    <row r="5" spans="1:5" ht="13.9" x14ac:dyDescent="0.4">
      <c r="B5" s="141" t="s">
        <v>196</v>
      </c>
      <c r="C5" s="192" t="s">
        <v>261</v>
      </c>
    </row>
    <row r="6" spans="1:5" ht="13.9" x14ac:dyDescent="0.4">
      <c r="B6" s="141" t="s">
        <v>164</v>
      </c>
      <c r="C6" s="190">
        <v>45624</v>
      </c>
    </row>
    <row r="7" spans="1:5" ht="13.9" x14ac:dyDescent="0.4">
      <c r="B7" s="140" t="s">
        <v>4</v>
      </c>
      <c r="C7" s="191">
        <v>8</v>
      </c>
    </row>
    <row r="8" spans="1:5" ht="13.9" x14ac:dyDescent="0.4">
      <c r="B8" s="140" t="s">
        <v>216</v>
      </c>
      <c r="C8" s="192" t="s">
        <v>71</v>
      </c>
      <c r="E8" s="268"/>
    </row>
    <row r="9" spans="1:5" ht="13.9" x14ac:dyDescent="0.4">
      <c r="B9" s="140" t="s">
        <v>217</v>
      </c>
      <c r="C9" s="193" t="s">
        <v>262</v>
      </c>
    </row>
    <row r="10" spans="1:5" ht="13.9" x14ac:dyDescent="0.4">
      <c r="B10" s="140" t="s">
        <v>218</v>
      </c>
      <c r="C10" s="194">
        <v>777416974</v>
      </c>
    </row>
    <row r="11" spans="1:5" ht="13.9" x14ac:dyDescent="0.4">
      <c r="B11" s="140" t="s">
        <v>219</v>
      </c>
      <c r="C11" s="193" t="s">
        <v>2</v>
      </c>
    </row>
    <row r="12" spans="1:5" ht="13.9" x14ac:dyDescent="0.4">
      <c r="B12" s="219" t="s">
        <v>10</v>
      </c>
      <c r="C12" s="220">
        <v>45291</v>
      </c>
    </row>
    <row r="13" spans="1:5" ht="13.9" x14ac:dyDescent="0.4">
      <c r="B13" s="219" t="s">
        <v>11</v>
      </c>
      <c r="C13" s="221">
        <v>1000</v>
      </c>
    </row>
    <row r="14" spans="1:5" ht="13.9" x14ac:dyDescent="0.4">
      <c r="B14" s="219" t="s">
        <v>220</v>
      </c>
      <c r="C14" s="220">
        <v>45473</v>
      </c>
    </row>
    <row r="15" spans="1:5" ht="13.9" x14ac:dyDescent="0.4">
      <c r="B15" s="219" t="s">
        <v>256</v>
      </c>
      <c r="C15" s="177" t="s">
        <v>190</v>
      </c>
    </row>
    <row r="16" spans="1:5" ht="13.9" x14ac:dyDescent="0.4">
      <c r="B16" s="223" t="s">
        <v>97</v>
      </c>
      <c r="C16" s="224">
        <v>0.16500000000000001</v>
      </c>
      <c r="D16" s="24" t="s">
        <v>263</v>
      </c>
    </row>
    <row r="17" spans="2:13" ht="13.9" x14ac:dyDescent="0.4">
      <c r="B17" s="241" t="s">
        <v>225</v>
      </c>
      <c r="C17" s="243" t="s">
        <v>264</v>
      </c>
      <c r="D17" s="24"/>
    </row>
    <row r="18" spans="2:13" ht="13.9" x14ac:dyDescent="0.4">
      <c r="B18" s="241" t="s">
        <v>239</v>
      </c>
      <c r="C18" s="243" t="s">
        <v>246</v>
      </c>
      <c r="D18" s="24"/>
    </row>
    <row r="19" spans="2:13" ht="13.9" x14ac:dyDescent="0.4">
      <c r="B19" s="241" t="s">
        <v>240</v>
      </c>
      <c r="C19" s="243" t="s">
        <v>246</v>
      </c>
      <c r="D19" s="24"/>
    </row>
    <row r="20" spans="2:13" ht="13.9" x14ac:dyDescent="0.4">
      <c r="B20" s="242" t="s">
        <v>229</v>
      </c>
      <c r="C20" s="243" t="s">
        <v>246</v>
      </c>
      <c r="D20" s="24"/>
    </row>
    <row r="21" spans="2:13" ht="13.9" x14ac:dyDescent="0.4">
      <c r="B21" s="225" t="s">
        <v>232</v>
      </c>
      <c r="C21" s="243" t="s">
        <v>264</v>
      </c>
      <c r="D21" s="24"/>
    </row>
    <row r="22" spans="2:13" ht="78.75" x14ac:dyDescent="0.4">
      <c r="B22" s="227" t="s">
        <v>231</v>
      </c>
      <c r="C22" s="244" t="s">
        <v>265</v>
      </c>
      <c r="D22" s="24"/>
    </row>
    <row r="24" spans="2:13" ht="13.9" x14ac:dyDescent="0.4">
      <c r="B24" s="115" t="s">
        <v>134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12</v>
      </c>
      <c r="C25" s="150">
        <v>1487090</v>
      </c>
      <c r="D25" s="150">
        <v>1462864</v>
      </c>
      <c r="E25" s="150"/>
      <c r="F25" s="150"/>
      <c r="G25" s="150"/>
      <c r="H25" s="150"/>
      <c r="I25" s="150"/>
      <c r="J25" s="150"/>
      <c r="K25" s="150"/>
      <c r="L25" s="150"/>
      <c r="M25" s="150"/>
    </row>
    <row r="26" spans="2:13" ht="13.9" x14ac:dyDescent="0.4">
      <c r="B26" s="97" t="s">
        <v>106</v>
      </c>
      <c r="C26" s="151">
        <v>692542</v>
      </c>
      <c r="D26" s="151">
        <v>723325</v>
      </c>
      <c r="E26" s="151"/>
      <c r="F26" s="151"/>
      <c r="G26" s="151"/>
      <c r="H26" s="151"/>
      <c r="I26" s="151"/>
      <c r="J26" s="151"/>
      <c r="K26" s="151"/>
      <c r="L26" s="151"/>
      <c r="M26" s="151"/>
    </row>
    <row r="27" spans="2:13" ht="13.9" x14ac:dyDescent="0.4">
      <c r="B27" s="97" t="s">
        <v>104</v>
      </c>
      <c r="C27" s="151">
        <f>533247+84045+112812</f>
        <v>730104</v>
      </c>
      <c r="D27" s="151">
        <f>468717+87819+109122</f>
        <v>665658</v>
      </c>
      <c r="E27" s="151"/>
      <c r="F27" s="151"/>
      <c r="G27" s="151"/>
      <c r="H27" s="151"/>
      <c r="I27" s="151"/>
      <c r="J27" s="151"/>
      <c r="K27" s="151"/>
      <c r="L27" s="151"/>
      <c r="M27" s="151"/>
    </row>
    <row r="28" spans="2:13" ht="13.9" x14ac:dyDescent="0.4">
      <c r="B28" s="97" t="s">
        <v>107</v>
      </c>
      <c r="C28" s="151"/>
      <c r="D28" s="151"/>
      <c r="E28" s="151"/>
      <c r="F28" s="151"/>
      <c r="G28" s="151"/>
      <c r="H28" s="151"/>
      <c r="I28" s="151"/>
      <c r="J28" s="151"/>
      <c r="K28" s="151"/>
      <c r="L28" s="151"/>
      <c r="M28" s="151"/>
    </row>
    <row r="29" spans="2:13" ht="13.9" x14ac:dyDescent="0.4">
      <c r="B29" s="97" t="s">
        <v>257</v>
      </c>
      <c r="C29" s="151"/>
      <c r="D29" s="151"/>
      <c r="E29" s="151"/>
      <c r="F29" s="151"/>
      <c r="G29" s="151"/>
      <c r="H29" s="151"/>
      <c r="I29" s="151"/>
      <c r="J29" s="151"/>
      <c r="K29" s="151"/>
      <c r="L29" s="151"/>
      <c r="M29" s="151"/>
    </row>
    <row r="30" spans="2:13" ht="13.9" x14ac:dyDescent="0.4">
      <c r="B30" s="99" t="s">
        <v>111</v>
      </c>
      <c r="C30" s="151"/>
      <c r="D30" s="151"/>
      <c r="E30" s="151"/>
      <c r="F30" s="151"/>
      <c r="G30" s="151"/>
      <c r="H30" s="151"/>
      <c r="I30" s="151"/>
      <c r="J30" s="151"/>
      <c r="K30" s="151"/>
      <c r="L30" s="151"/>
      <c r="M30" s="151"/>
    </row>
    <row r="31" spans="2:13" ht="13.9" x14ac:dyDescent="0.4">
      <c r="B31" s="97" t="s">
        <v>110</v>
      </c>
      <c r="C31" s="151">
        <f>287520-228742</f>
        <v>58778</v>
      </c>
      <c r="D31" s="151">
        <f>283189-244840</f>
        <v>38349</v>
      </c>
      <c r="E31" s="151"/>
      <c r="F31" s="151"/>
      <c r="G31" s="151"/>
      <c r="H31" s="151"/>
      <c r="I31" s="151"/>
      <c r="J31" s="151"/>
      <c r="K31" s="151"/>
      <c r="L31" s="151"/>
      <c r="M31" s="151"/>
    </row>
    <row r="32" spans="2:13" ht="13.9" x14ac:dyDescent="0.4">
      <c r="B32" s="97" t="s">
        <v>105</v>
      </c>
      <c r="C32" s="151">
        <f>45846+161146+2947</f>
        <v>209939</v>
      </c>
      <c r="D32" s="151">
        <f>42318+145169+2947</f>
        <v>190434</v>
      </c>
      <c r="E32" s="151"/>
      <c r="F32" s="151"/>
      <c r="G32" s="151"/>
      <c r="H32" s="151"/>
      <c r="I32" s="151"/>
      <c r="J32" s="151"/>
      <c r="K32" s="151"/>
      <c r="L32" s="151"/>
      <c r="M32" s="151"/>
    </row>
    <row r="33" spans="2:13" ht="13.9" x14ac:dyDescent="0.4">
      <c r="B33" s="97" t="s">
        <v>108</v>
      </c>
      <c r="C33" s="151">
        <v>38027</v>
      </c>
      <c r="D33" s="151">
        <v>60606</v>
      </c>
      <c r="E33" s="151"/>
      <c r="F33" s="151"/>
      <c r="G33" s="151"/>
      <c r="H33" s="151"/>
      <c r="I33" s="151"/>
      <c r="J33" s="151"/>
      <c r="K33" s="151"/>
      <c r="L33" s="151"/>
      <c r="M33" s="151"/>
    </row>
    <row r="34" spans="2:13" ht="13.9" x14ac:dyDescent="0.4">
      <c r="B34" s="94" t="s">
        <v>15</v>
      </c>
      <c r="C34" s="218"/>
      <c r="D34" s="151"/>
      <c r="E34" s="151"/>
      <c r="F34" s="151"/>
      <c r="G34" s="151"/>
      <c r="H34" s="151"/>
      <c r="I34" s="151"/>
      <c r="J34" s="151"/>
      <c r="K34" s="151"/>
      <c r="L34" s="151"/>
      <c r="M34" s="151"/>
    </row>
    <row r="35" spans="2:13" ht="13.9" x14ac:dyDescent="0.4">
      <c r="B35" s="94" t="s">
        <v>117</v>
      </c>
      <c r="C35" s="218"/>
      <c r="D35" s="151"/>
      <c r="E35" s="151"/>
      <c r="F35" s="151"/>
      <c r="G35" s="151"/>
      <c r="H35" s="151"/>
      <c r="I35" s="151"/>
      <c r="J35" s="151"/>
      <c r="K35" s="151"/>
      <c r="L35" s="151"/>
      <c r="M35" s="151"/>
    </row>
    <row r="36" spans="2:13" ht="13.9" x14ac:dyDescent="0.4">
      <c r="B36" s="94" t="s">
        <v>149</v>
      </c>
      <c r="C36" s="218"/>
      <c r="D36" s="151"/>
      <c r="E36" s="151"/>
      <c r="F36" s="151"/>
      <c r="G36" s="151"/>
      <c r="H36" s="151"/>
      <c r="I36" s="151"/>
      <c r="J36" s="151"/>
      <c r="K36" s="151"/>
      <c r="L36" s="151"/>
      <c r="M36" s="151"/>
    </row>
    <row r="37" spans="2:13" ht="13.9" x14ac:dyDescent="0.4">
      <c r="B37" s="94" t="s">
        <v>16</v>
      </c>
      <c r="C37" s="218"/>
      <c r="D37" s="151"/>
      <c r="E37" s="151"/>
      <c r="F37" s="151"/>
      <c r="G37" s="151"/>
      <c r="H37" s="151"/>
      <c r="I37" s="151"/>
      <c r="J37" s="151"/>
      <c r="K37" s="151"/>
      <c r="L37" s="151"/>
      <c r="M37" s="151"/>
    </row>
    <row r="38" spans="2:13" ht="13.9" x14ac:dyDescent="0.4">
      <c r="B38" s="94" t="s">
        <v>116</v>
      </c>
      <c r="C38" s="218"/>
      <c r="D38" s="151"/>
      <c r="E38" s="151"/>
      <c r="F38" s="151"/>
      <c r="G38" s="151"/>
      <c r="H38" s="151"/>
      <c r="I38" s="151"/>
      <c r="J38" s="151"/>
      <c r="K38" s="151"/>
      <c r="L38" s="151"/>
      <c r="M38" s="151"/>
    </row>
    <row r="39" spans="2:13" ht="13.9" x14ac:dyDescent="0.4">
      <c r="B39" s="94" t="s">
        <v>17</v>
      </c>
      <c r="C39" s="218"/>
      <c r="D39" s="151"/>
      <c r="E39" s="151"/>
      <c r="F39" s="151"/>
      <c r="G39" s="151"/>
      <c r="H39" s="151"/>
      <c r="I39" s="151"/>
      <c r="J39" s="151"/>
      <c r="K39" s="151"/>
      <c r="L39" s="151"/>
      <c r="M39" s="151"/>
    </row>
    <row r="40" spans="2:13" ht="13.9" x14ac:dyDescent="0.4">
      <c r="B40" s="94" t="s">
        <v>18</v>
      </c>
      <c r="C40" s="218"/>
      <c r="D40" s="151"/>
      <c r="E40" s="151"/>
      <c r="F40" s="151"/>
      <c r="G40" s="151"/>
      <c r="H40" s="151"/>
      <c r="I40" s="151"/>
      <c r="J40" s="151"/>
      <c r="K40" s="151"/>
      <c r="L40" s="151"/>
      <c r="M40" s="151"/>
    </row>
    <row r="41" spans="2:13" ht="13.9" x14ac:dyDescent="0.4">
      <c r="B41" s="94" t="s">
        <v>138</v>
      </c>
      <c r="C41" s="218"/>
      <c r="D41" s="151"/>
      <c r="E41" s="151"/>
      <c r="F41" s="151"/>
      <c r="G41" s="151"/>
      <c r="H41" s="151"/>
      <c r="I41" s="151"/>
      <c r="J41" s="151"/>
      <c r="K41" s="151"/>
      <c r="L41" s="151"/>
      <c r="M41" s="151"/>
    </row>
    <row r="42" spans="2:13" ht="13.9" x14ac:dyDescent="0.4">
      <c r="B42" s="94" t="s">
        <v>139</v>
      </c>
      <c r="C42" s="218"/>
      <c r="D42" s="151"/>
      <c r="E42" s="151"/>
      <c r="F42" s="151"/>
      <c r="G42" s="151"/>
      <c r="H42" s="151"/>
      <c r="I42" s="151"/>
      <c r="J42" s="151"/>
      <c r="K42" s="151"/>
      <c r="L42" s="151"/>
      <c r="M42" s="151"/>
    </row>
    <row r="43" spans="2:13" ht="13.9" x14ac:dyDescent="0.4">
      <c r="B43" s="94" t="s">
        <v>137</v>
      </c>
      <c r="C43" s="218"/>
      <c r="D43" s="151"/>
      <c r="E43" s="151"/>
      <c r="F43" s="151"/>
      <c r="G43" s="151"/>
      <c r="H43" s="151"/>
      <c r="I43" s="151"/>
      <c r="J43" s="151"/>
      <c r="K43" s="151"/>
      <c r="L43" s="151"/>
      <c r="M43" s="151"/>
    </row>
    <row r="44" spans="2:13" ht="13.9" x14ac:dyDescent="0.4">
      <c r="B44" s="74" t="s">
        <v>208</v>
      </c>
      <c r="C44" s="251">
        <f>0.02+0.04</f>
        <v>0.06</v>
      </c>
      <c r="D44" s="251">
        <f>0.05+0.02</f>
        <v>7.0000000000000007E-2</v>
      </c>
      <c r="E44" s="251"/>
      <c r="F44" s="251"/>
      <c r="G44" s="251"/>
      <c r="H44" s="251"/>
      <c r="I44" s="251"/>
      <c r="J44" s="251"/>
      <c r="K44" s="251"/>
      <c r="L44" s="251"/>
      <c r="M44" s="251"/>
    </row>
    <row r="45" spans="2:13" ht="13.9" x14ac:dyDescent="0.4">
      <c r="B45" s="74" t="s">
        <v>253</v>
      </c>
      <c r="C45" s="153">
        <f>IF(C44="","",C44*Exchange_Rate/Dashboard!$G$3)</f>
        <v>0.13793103448275862</v>
      </c>
      <c r="D45" s="153">
        <f>IF(D44="","",D44*Exchange_Rate/Dashboard!$G$3)</f>
        <v>0.16091954022988508</v>
      </c>
      <c r="E45" s="153" t="str">
        <f>IF(E44="","",E44*Exchange_Rate/Dashboard!$G$3)</f>
        <v/>
      </c>
      <c r="F45" s="153" t="str">
        <f>IF(F44="","",F44*Exchange_Rate/Dashboard!$G$3)</f>
        <v/>
      </c>
      <c r="G45" s="153" t="str">
        <f>IF(G44="","",G44*Exchange_Rate/Dashboard!$G$3)</f>
        <v/>
      </c>
      <c r="H45" s="153" t="str">
        <f>IF(H44="","",H44*Exchange_Rate/Dashboard!$G$3)</f>
        <v/>
      </c>
      <c r="I45" s="153" t="str">
        <f>IF(I44="","",I44*Exchange_Rate/Dashboard!$G$3)</f>
        <v/>
      </c>
      <c r="J45" s="153" t="str">
        <f>IF(J44="","",J44*Exchange_Rate/Dashboard!$G$3)</f>
        <v/>
      </c>
      <c r="K45" s="153" t="str">
        <f>IF(K44="","",K44*Exchange_Rate/Dashboard!$G$3)</f>
        <v/>
      </c>
      <c r="L45" s="153" t="str">
        <f>IF(L44="","",L44*Exchange_Rate/Dashboard!$G$3)</f>
        <v/>
      </c>
      <c r="M45" s="153" t="str">
        <f>IF(M44="","",M44*Exchange_Rate/Dashboard!$G$3)</f>
        <v/>
      </c>
    </row>
    <row r="47" spans="2:13" ht="13.9" x14ac:dyDescent="0.4">
      <c r="B47" s="10" t="s">
        <v>250</v>
      </c>
      <c r="C47" s="195" t="s">
        <v>34</v>
      </c>
      <c r="D47" s="195" t="s">
        <v>197</v>
      </c>
      <c r="E47" s="111" t="s">
        <v>36</v>
      </c>
    </row>
    <row r="48" spans="2:13" ht="13.9" x14ac:dyDescent="0.4">
      <c r="B48" s="3" t="s">
        <v>38</v>
      </c>
      <c r="C48" s="59"/>
      <c r="D48" s="60">
        <v>0.9</v>
      </c>
      <c r="E48" s="112"/>
    </row>
    <row r="49" spans="2:5" ht="13.9" x14ac:dyDescent="0.4">
      <c r="B49" s="1" t="s">
        <v>136</v>
      </c>
      <c r="C49" s="59"/>
      <c r="D49" s="60">
        <v>0.8</v>
      </c>
      <c r="E49" s="112"/>
    </row>
    <row r="50" spans="2:5" ht="13.9" x14ac:dyDescent="0.4">
      <c r="B50" s="3" t="s">
        <v>117</v>
      </c>
      <c r="C50" s="59"/>
      <c r="D50" s="60">
        <f>D51</f>
        <v>0.6</v>
      </c>
      <c r="E50" s="112"/>
    </row>
    <row r="51" spans="2:5" ht="13.9" x14ac:dyDescent="0.4">
      <c r="B51" s="3" t="s">
        <v>42</v>
      </c>
      <c r="C51" s="59"/>
      <c r="D51" s="60">
        <v>0.6</v>
      </c>
      <c r="E51" s="112"/>
    </row>
    <row r="52" spans="2:5" ht="13.9" x14ac:dyDescent="0.4">
      <c r="B52" s="3" t="s">
        <v>44</v>
      </c>
      <c r="C52" s="59"/>
      <c r="D52" s="60">
        <v>0.5</v>
      </c>
      <c r="E52" s="112"/>
    </row>
    <row r="53" spans="2:5" ht="13.9" x14ac:dyDescent="0.4">
      <c r="B53" s="1" t="s">
        <v>159</v>
      </c>
      <c r="C53" s="59"/>
      <c r="D53" s="60">
        <f>D50</f>
        <v>0.6</v>
      </c>
      <c r="E53" s="112"/>
    </row>
    <row r="54" spans="2:5" ht="13.9" x14ac:dyDescent="0.4">
      <c r="B54" s="3" t="s">
        <v>118</v>
      </c>
      <c r="C54" s="59"/>
      <c r="D54" s="60">
        <v>0.1</v>
      </c>
      <c r="E54" s="112"/>
    </row>
    <row r="55" spans="2:5" ht="13.9" x14ac:dyDescent="0.4">
      <c r="B55" s="3" t="s">
        <v>47</v>
      </c>
      <c r="C55" s="59"/>
      <c r="D55" s="60">
        <f>D52</f>
        <v>0.5</v>
      </c>
      <c r="E55" s="112"/>
    </row>
    <row r="56" spans="2:5" ht="13.9" x14ac:dyDescent="0.4">
      <c r="B56" s="1" t="s">
        <v>48</v>
      </c>
      <c r="C56" s="59"/>
      <c r="D56" s="60">
        <f>D50</f>
        <v>0.6</v>
      </c>
      <c r="E56" s="222" t="s">
        <v>71</v>
      </c>
    </row>
    <row r="57" spans="2:5" ht="13.9" x14ac:dyDescent="0.4">
      <c r="B57" s="3" t="s">
        <v>120</v>
      </c>
      <c r="C57" s="59"/>
      <c r="D57" s="60">
        <v>0.6</v>
      </c>
      <c r="E57" s="222" t="s">
        <v>46</v>
      </c>
    </row>
    <row r="58" spans="2:5" ht="13.9" x14ac:dyDescent="0.4">
      <c r="B58" s="3" t="s">
        <v>50</v>
      </c>
      <c r="C58" s="59"/>
      <c r="D58" s="60">
        <f>D48</f>
        <v>0.9</v>
      </c>
      <c r="E58" s="112"/>
    </row>
    <row r="59" spans="2:5" ht="13.9" x14ac:dyDescent="0.4">
      <c r="B59" s="35" t="s">
        <v>51</v>
      </c>
      <c r="C59" s="120"/>
      <c r="D59" s="196">
        <f>D70</f>
        <v>0.05</v>
      </c>
      <c r="E59" s="112"/>
    </row>
    <row r="60" spans="2:5" ht="13.9" x14ac:dyDescent="0.4">
      <c r="B60" s="3" t="s">
        <v>61</v>
      </c>
      <c r="C60" s="59"/>
      <c r="D60" s="60">
        <f>D49</f>
        <v>0.8</v>
      </c>
      <c r="E60" s="112"/>
    </row>
    <row r="61" spans="2:5" ht="13.9" x14ac:dyDescent="0.4">
      <c r="B61" s="3" t="s">
        <v>63</v>
      </c>
      <c r="C61" s="59"/>
      <c r="D61" s="60">
        <f>D51</f>
        <v>0.6</v>
      </c>
      <c r="E61" s="112"/>
    </row>
    <row r="62" spans="2:5" ht="13.9" x14ac:dyDescent="0.4">
      <c r="B62" s="3" t="s">
        <v>65</v>
      </c>
      <c r="C62" s="59"/>
      <c r="D62" s="60">
        <f>D52</f>
        <v>0.5</v>
      </c>
      <c r="E62" s="112"/>
    </row>
    <row r="63" spans="2:5" ht="13.9" x14ac:dyDescent="0.4">
      <c r="B63" s="1" t="s">
        <v>160</v>
      </c>
      <c r="C63" s="59"/>
      <c r="D63" s="60">
        <f>D62</f>
        <v>0.5</v>
      </c>
      <c r="E63" s="112"/>
    </row>
    <row r="64" spans="2:5" ht="13.9" x14ac:dyDescent="0.4">
      <c r="B64" s="3" t="s">
        <v>68</v>
      </c>
      <c r="C64" s="59"/>
      <c r="D64" s="60">
        <v>0.4</v>
      </c>
      <c r="E64" s="112"/>
    </row>
    <row r="65" spans="2:5" ht="13.9" x14ac:dyDescent="0.4">
      <c r="B65" s="3" t="s">
        <v>70</v>
      </c>
      <c r="C65" s="59"/>
      <c r="D65" s="60">
        <v>0.1</v>
      </c>
      <c r="E65" s="222" t="s">
        <v>71</v>
      </c>
    </row>
    <row r="66" spans="2:5" ht="13.9" x14ac:dyDescent="0.4">
      <c r="B66" s="3" t="s">
        <v>72</v>
      </c>
      <c r="C66" s="59"/>
      <c r="D66" s="60">
        <v>0.2</v>
      </c>
      <c r="E66" s="222" t="s">
        <v>71</v>
      </c>
    </row>
    <row r="67" spans="2:5" ht="13.9" x14ac:dyDescent="0.4">
      <c r="B67" s="1" t="s">
        <v>49</v>
      </c>
      <c r="C67" s="59"/>
      <c r="D67" s="60">
        <f>D65</f>
        <v>0.1</v>
      </c>
      <c r="E67" s="222" t="s">
        <v>46</v>
      </c>
    </row>
    <row r="68" spans="2:5" ht="13.9" x14ac:dyDescent="0.4">
      <c r="B68" s="3" t="s">
        <v>119</v>
      </c>
      <c r="C68" s="59"/>
      <c r="D68" s="60">
        <f>D65</f>
        <v>0.1</v>
      </c>
      <c r="E68" s="112"/>
    </row>
    <row r="69" spans="2:5" ht="13.9" x14ac:dyDescent="0.4">
      <c r="B69" s="3" t="s">
        <v>73</v>
      </c>
      <c r="C69" s="59"/>
      <c r="D69" s="60">
        <f>D70</f>
        <v>0.05</v>
      </c>
      <c r="E69" s="112"/>
    </row>
    <row r="70" spans="2:5" ht="13.9" x14ac:dyDescent="0.4">
      <c r="B70" s="3" t="s">
        <v>74</v>
      </c>
      <c r="C70" s="59"/>
      <c r="D70" s="60">
        <v>0.05</v>
      </c>
      <c r="E70" s="112"/>
    </row>
    <row r="71" spans="2:5" ht="13.9" x14ac:dyDescent="0.4">
      <c r="B71" s="3" t="s">
        <v>75</v>
      </c>
      <c r="C71" s="59"/>
      <c r="D71" s="60">
        <f>D58</f>
        <v>0.9</v>
      </c>
      <c r="E71" s="112"/>
    </row>
    <row r="72" spans="2:5" ht="14.25" thickBot="1" x14ac:dyDescent="0.45">
      <c r="B72" s="247" t="s">
        <v>76</v>
      </c>
      <c r="C72" s="248"/>
      <c r="D72" s="249">
        <v>0</v>
      </c>
      <c r="E72" s="250"/>
    </row>
    <row r="73" spans="2:5" ht="13.9" x14ac:dyDescent="0.4">
      <c r="B73" s="3" t="s">
        <v>39</v>
      </c>
      <c r="C73" s="59"/>
    </row>
    <row r="74" spans="2:5" ht="13.9" x14ac:dyDescent="0.4">
      <c r="B74" s="3" t="s">
        <v>40</v>
      </c>
      <c r="C74" s="59"/>
    </row>
    <row r="75" spans="2:5" ht="13.9" x14ac:dyDescent="0.4">
      <c r="B75" s="3" t="s">
        <v>41</v>
      </c>
      <c r="C75" s="59"/>
    </row>
    <row r="76" spans="2:5" ht="13.9" x14ac:dyDescent="0.4">
      <c r="B76" s="86" t="s">
        <v>43</v>
      </c>
      <c r="C76" s="120"/>
    </row>
    <row r="77" spans="2:5" ht="14.25" thickBot="1" x14ac:dyDescent="0.45">
      <c r="B77" s="80" t="s">
        <v>16</v>
      </c>
      <c r="C77" s="83"/>
    </row>
    <row r="78" spans="2:5" ht="14.25" thickTop="1" x14ac:dyDescent="0.4">
      <c r="B78" s="3" t="s">
        <v>62</v>
      </c>
      <c r="C78" s="59"/>
    </row>
    <row r="79" spans="2:5" ht="13.9" x14ac:dyDescent="0.4">
      <c r="B79" s="3" t="s">
        <v>64</v>
      </c>
      <c r="C79" s="59"/>
    </row>
    <row r="80" spans="2:5" ht="13.9" x14ac:dyDescent="0.4">
      <c r="B80" s="3" t="s">
        <v>66</v>
      </c>
      <c r="C80" s="59"/>
    </row>
    <row r="81" spans="2:8" ht="13.9" x14ac:dyDescent="0.4">
      <c r="B81" s="86" t="s">
        <v>67</v>
      </c>
      <c r="C81" s="120"/>
    </row>
    <row r="82" spans="2:8" ht="14.25" thickBot="1" x14ac:dyDescent="0.45">
      <c r="B82" s="80" t="s">
        <v>85</v>
      </c>
      <c r="C82" s="83"/>
    </row>
    <row r="83" spans="2:8" ht="14.25" thickTop="1" x14ac:dyDescent="0.4">
      <c r="B83" s="73" t="s">
        <v>221</v>
      </c>
      <c r="C83" s="59"/>
    </row>
    <row r="84" spans="2:8" ht="13.9" x14ac:dyDescent="0.4">
      <c r="B84" s="20" t="s">
        <v>91</v>
      </c>
      <c r="C84" s="59"/>
    </row>
    <row r="85" spans="2:8" ht="13.9" x14ac:dyDescent="0.4">
      <c r="B85" s="20" t="s">
        <v>93</v>
      </c>
      <c r="C85" s="59"/>
    </row>
    <row r="86" spans="2:8" ht="13.9" x14ac:dyDescent="0.4">
      <c r="B86" s="10" t="s">
        <v>251</v>
      </c>
      <c r="C86" s="198">
        <v>5</v>
      </c>
    </row>
    <row r="87" spans="2:8" ht="13.9" x14ac:dyDescent="0.4">
      <c r="B87" s="10" t="s">
        <v>249</v>
      </c>
      <c r="C87" s="237" t="s">
        <v>266</v>
      </c>
    </row>
    <row r="89" spans="2:8" ht="13.5" x14ac:dyDescent="0.35">
      <c r="B89" s="106" t="s">
        <v>128</v>
      </c>
      <c r="C89" s="270">
        <f>C24</f>
        <v>45291</v>
      </c>
      <c r="D89" s="270"/>
      <c r="E89" s="89" t="s">
        <v>207</v>
      </c>
      <c r="F89" s="50" t="s">
        <v>206</v>
      </c>
      <c r="H89" s="31"/>
    </row>
    <row r="90" spans="2:8" ht="13.9" x14ac:dyDescent="0.4">
      <c r="B90" s="12" t="str">
        <f>"(Numbers in "&amp;Data!C4&amp;Dashboard!G6&amp;")"</f>
        <v>(Numbers in 1000HKD)</v>
      </c>
      <c r="C90" s="271" t="s">
        <v>101</v>
      </c>
      <c r="D90" s="271"/>
      <c r="E90" s="236" t="s">
        <v>102</v>
      </c>
      <c r="F90" s="256" t="s">
        <v>102</v>
      </c>
    </row>
    <row r="91" spans="2:8" ht="13.9" x14ac:dyDescent="0.4">
      <c r="B91" s="3" t="s">
        <v>127</v>
      </c>
      <c r="C91" s="77">
        <f>C25</f>
        <v>1487090</v>
      </c>
      <c r="D91" s="210"/>
      <c r="E91" s="252">
        <f>C91</f>
        <v>1487090</v>
      </c>
      <c r="F91" s="252">
        <f>C91</f>
        <v>1487090</v>
      </c>
    </row>
    <row r="92" spans="2:8" ht="13.9" x14ac:dyDescent="0.4">
      <c r="B92" s="104" t="s">
        <v>106</v>
      </c>
      <c r="C92" s="77">
        <f>C26</f>
        <v>692542</v>
      </c>
      <c r="D92" s="160">
        <f>C92/C91</f>
        <v>0.46570281556597115</v>
      </c>
      <c r="E92" s="253">
        <f>E91*D92</f>
        <v>692542</v>
      </c>
      <c r="F92" s="253">
        <f>F91*D92</f>
        <v>692542</v>
      </c>
    </row>
    <row r="93" spans="2:8" ht="13.9" x14ac:dyDescent="0.4">
      <c r="B93" s="104" t="s">
        <v>248</v>
      </c>
      <c r="C93" s="77">
        <f>C27+C28</f>
        <v>730104</v>
      </c>
      <c r="D93" s="160">
        <f>C93/C91</f>
        <v>0.49096154234108225</v>
      </c>
      <c r="E93" s="253">
        <f>E91*D93</f>
        <v>730104</v>
      </c>
      <c r="F93" s="253">
        <f>F91*D93</f>
        <v>730104</v>
      </c>
    </row>
    <row r="94" spans="2:8" ht="13.9" x14ac:dyDescent="0.4">
      <c r="B94" s="104" t="s">
        <v>257</v>
      </c>
      <c r="C94" s="77">
        <f>C29</f>
        <v>0</v>
      </c>
      <c r="D94" s="160">
        <f>C94/C91</f>
        <v>0</v>
      </c>
      <c r="E94" s="254"/>
      <c r="F94" s="253">
        <f>F91*D94</f>
        <v>0</v>
      </c>
    </row>
    <row r="95" spans="2:8" ht="13.9" x14ac:dyDescent="0.4">
      <c r="B95" s="28" t="s">
        <v>247</v>
      </c>
      <c r="C95" s="77">
        <f>ABS(MAX(C33,0)-C32)</f>
        <v>171912</v>
      </c>
      <c r="D95" s="160">
        <f>C95/C91</f>
        <v>0.11560295610891069</v>
      </c>
      <c r="E95" s="253">
        <f>E91*D95</f>
        <v>171912</v>
      </c>
      <c r="F95" s="253">
        <f>F91*D95</f>
        <v>171912</v>
      </c>
    </row>
    <row r="96" spans="2:8" ht="13.9" x14ac:dyDescent="0.4">
      <c r="B96" s="28" t="s">
        <v>110</v>
      </c>
      <c r="C96" s="77">
        <f>MAX(C31,0)</f>
        <v>58778</v>
      </c>
      <c r="D96" s="160">
        <f>C96/C91</f>
        <v>3.9525516276755275E-2</v>
      </c>
      <c r="E96" s="254"/>
      <c r="F96" s="253">
        <f>F91*D96</f>
        <v>58778</v>
      </c>
    </row>
    <row r="97" spans="2:7" ht="13.9" x14ac:dyDescent="0.4">
      <c r="B97" s="73" t="s">
        <v>173</v>
      </c>
      <c r="C97" s="77">
        <f>MAX(C30,0)/(1-C16)</f>
        <v>0</v>
      </c>
      <c r="D97" s="160">
        <f>C97/C91</f>
        <v>0</v>
      </c>
      <c r="E97" s="254"/>
      <c r="F97" s="253">
        <f>F91*D97</f>
        <v>0</v>
      </c>
    </row>
    <row r="98" spans="2:7" ht="13.9" x14ac:dyDescent="0.4">
      <c r="B98" s="86" t="s">
        <v>208</v>
      </c>
      <c r="C98" s="238">
        <f>C44</f>
        <v>0.06</v>
      </c>
      <c r="D98" s="267"/>
      <c r="E98" s="255">
        <f>F98</f>
        <v>0.06</v>
      </c>
      <c r="F98" s="255">
        <f>C98</f>
        <v>0.06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0831.HK : 利亞零售</v>
      </c>
      <c r="D2" s="87"/>
      <c r="E2" s="7"/>
      <c r="F2" s="7"/>
      <c r="G2" s="86"/>
      <c r="H2" s="86"/>
    </row>
    <row r="3" spans="1:10" ht="15.75" customHeight="1" x14ac:dyDescent="0.4">
      <c r="B3" s="3" t="s">
        <v>195</v>
      </c>
      <c r="C3" s="276" t="str">
        <f>Inputs!C4</f>
        <v>0831.HK</v>
      </c>
      <c r="D3" s="277"/>
      <c r="E3" s="87"/>
      <c r="F3" s="3" t="s">
        <v>1</v>
      </c>
      <c r="G3" s="132">
        <v>0.435</v>
      </c>
      <c r="H3" s="134" t="s">
        <v>267</v>
      </c>
    </row>
    <row r="4" spans="1:10" ht="15.75" customHeight="1" x14ac:dyDescent="0.4">
      <c r="B4" s="35" t="s">
        <v>196</v>
      </c>
      <c r="C4" s="278" t="str">
        <f>Inputs!C5</f>
        <v>利亞零售</v>
      </c>
      <c r="D4" s="279"/>
      <c r="E4" s="87"/>
      <c r="F4" s="3" t="s">
        <v>3</v>
      </c>
      <c r="G4" s="282">
        <f>Inputs!C10</f>
        <v>777416974</v>
      </c>
      <c r="H4" s="282"/>
      <c r="I4" s="39"/>
    </row>
    <row r="5" spans="1:10" ht="15.75" customHeight="1" x14ac:dyDescent="0.4">
      <c r="B5" s="3" t="s">
        <v>164</v>
      </c>
      <c r="C5" s="280">
        <f>Inputs!C6</f>
        <v>45624</v>
      </c>
      <c r="D5" s="281"/>
      <c r="E5" s="34"/>
      <c r="F5" s="35" t="s">
        <v>100</v>
      </c>
      <c r="G5" s="274">
        <f>G3*G4/1000000</f>
        <v>338.17638369000002</v>
      </c>
      <c r="H5" s="274"/>
      <c r="I5" s="38"/>
      <c r="J5" s="28"/>
    </row>
    <row r="6" spans="1:10" ht="15.75" customHeight="1" x14ac:dyDescent="0.4">
      <c r="B6" s="87" t="s">
        <v>4</v>
      </c>
      <c r="C6" s="186">
        <f>Inputs!C7</f>
        <v>8</v>
      </c>
      <c r="D6" s="187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75" t="str">
        <f>Inputs!C11</f>
        <v>HKD</v>
      </c>
      <c r="H6" s="275"/>
      <c r="I6" s="38"/>
    </row>
    <row r="7" spans="1:10" ht="15.75" customHeight="1" x14ac:dyDescent="0.4">
      <c r="B7" s="86" t="s">
        <v>193</v>
      </c>
      <c r="C7" s="188" t="str">
        <f>Inputs!C8</f>
        <v>N</v>
      </c>
      <c r="D7" s="188" t="str">
        <f>Inputs!C9</f>
        <v>C0007</v>
      </c>
      <c r="E7" s="87"/>
      <c r="F7" s="35" t="s">
        <v>6</v>
      </c>
      <c r="G7" s="133">
        <v>1</v>
      </c>
      <c r="H7" s="71" t="str">
        <f>IF(G6=Dashboard!H3,H3,G6&amp;"/"&amp;Dashboard!H3)</f>
        <v>HKD</v>
      </c>
    </row>
    <row r="8" spans="1:10" ht="15.75" customHeight="1" x14ac:dyDescent="0.4"/>
    <row r="9" spans="1:10" ht="15.75" customHeight="1" x14ac:dyDescent="0.4">
      <c r="B9" s="139" t="s">
        <v>191</v>
      </c>
      <c r="F9" s="143" t="s">
        <v>186</v>
      </c>
    </row>
    <row r="10" spans="1:10" ht="15.75" customHeight="1" x14ac:dyDescent="0.4">
      <c r="B10" s="1" t="s">
        <v>176</v>
      </c>
      <c r="C10" s="173">
        <v>4.2099999999999999E-2</v>
      </c>
      <c r="F10" s="110" t="s">
        <v>183</v>
      </c>
    </row>
    <row r="11" spans="1:10" ht="15.75" customHeight="1" thickBot="1" x14ac:dyDescent="0.45">
      <c r="B11" s="122" t="s">
        <v>180</v>
      </c>
      <c r="C11" s="174">
        <v>5.3099999999999994E-2</v>
      </c>
      <c r="D11" s="137" t="s">
        <v>190</v>
      </c>
      <c r="F11" s="110" t="s">
        <v>178</v>
      </c>
    </row>
    <row r="12" spans="1:10" ht="15.75" customHeight="1" thickTop="1" x14ac:dyDescent="0.4">
      <c r="B12" s="87" t="s">
        <v>254</v>
      </c>
      <c r="C12" s="175">
        <v>0.06</v>
      </c>
      <c r="D12" s="173">
        <v>6.6000000000000003E-2</v>
      </c>
      <c r="F12" s="110"/>
    </row>
    <row r="13" spans="1:10" ht="15.75" customHeight="1" x14ac:dyDescent="0.4"/>
    <row r="14" spans="1:10" ht="15.75" customHeight="1" x14ac:dyDescent="0.4">
      <c r="B14" s="1" t="s">
        <v>177</v>
      </c>
      <c r="C14" s="173">
        <v>2.1309999999999999E-2</v>
      </c>
      <c r="F14" s="110" t="s">
        <v>182</v>
      </c>
    </row>
    <row r="15" spans="1:10" ht="15.75" customHeight="1" x14ac:dyDescent="0.4">
      <c r="B15" s="1" t="s">
        <v>187</v>
      </c>
      <c r="C15" s="173">
        <v>6.5000000000000002E-2</v>
      </c>
      <c r="F15" s="110" t="s">
        <v>181</v>
      </c>
    </row>
    <row r="16" spans="1:10" ht="15.75" customHeight="1" thickBot="1" x14ac:dyDescent="0.45">
      <c r="B16" s="122" t="s">
        <v>188</v>
      </c>
      <c r="C16" s="174">
        <v>0.16</v>
      </c>
      <c r="D16" s="266" t="str">
        <f>Inputs!C15</f>
        <v>HK</v>
      </c>
      <c r="F16" s="110" t="s">
        <v>179</v>
      </c>
    </row>
    <row r="17" spans="1:8" ht="15.75" customHeight="1" thickTop="1" x14ac:dyDescent="0.4">
      <c r="B17" s="87" t="s">
        <v>255</v>
      </c>
      <c r="C17" s="176">
        <v>7.1999999999999995E-2</v>
      </c>
      <c r="D17" s="177"/>
    </row>
    <row r="18" spans="1:8" ht="15.75" customHeight="1" x14ac:dyDescent="0.4"/>
    <row r="19" spans="1:8" ht="15.75" customHeight="1" x14ac:dyDescent="0.4">
      <c r="B19" s="142" t="s">
        <v>184</v>
      </c>
      <c r="C19" s="135" t="s">
        <v>52</v>
      </c>
      <c r="D19" s="87"/>
      <c r="E19" s="87"/>
      <c r="F19" s="142" t="s">
        <v>213</v>
      </c>
      <c r="G19" s="87"/>
      <c r="H19" s="87"/>
    </row>
    <row r="20" spans="1:8" ht="15.75" customHeight="1" x14ac:dyDescent="0.4">
      <c r="B20" s="137" t="s">
        <v>170</v>
      </c>
      <c r="C20" s="172">
        <f>Fin_Analysis!I75</f>
        <v>0.46570281556597115</v>
      </c>
      <c r="F20" s="87" t="s">
        <v>212</v>
      </c>
      <c r="G20" s="173">
        <v>0.15</v>
      </c>
    </row>
    <row r="21" spans="1:8" ht="15.75" customHeight="1" x14ac:dyDescent="0.4">
      <c r="B21" s="137" t="s">
        <v>245</v>
      </c>
      <c r="C21" s="172">
        <f>Fin_Analysis!I77</f>
        <v>0.49096154234108225</v>
      </c>
      <c r="F21" s="87"/>
      <c r="G21" s="29"/>
    </row>
    <row r="22" spans="1:8" ht="15.75" customHeight="1" x14ac:dyDescent="0.4">
      <c r="B22" s="137" t="s">
        <v>192</v>
      </c>
      <c r="C22" s="172">
        <f>Fin_Analysis!I78</f>
        <v>0</v>
      </c>
      <c r="F22" s="142" t="s">
        <v>185</v>
      </c>
    </row>
    <row r="23" spans="1:8" ht="15.75" customHeight="1" x14ac:dyDescent="0.4">
      <c r="B23" s="137" t="s">
        <v>172</v>
      </c>
      <c r="C23" s="172">
        <f>Fin_Analysis!I80</f>
        <v>3.9525516276755275E-2</v>
      </c>
      <c r="F23" s="140" t="s">
        <v>189</v>
      </c>
      <c r="G23" s="178" t="e">
        <f>G3/(Data!C36*Data!C4/Common_Shares*Exchange_Rate)</f>
        <v>#DIV/0!</v>
      </c>
    </row>
    <row r="24" spans="1:8" ht="15.75" customHeight="1" x14ac:dyDescent="0.4">
      <c r="B24" s="137" t="s">
        <v>171</v>
      </c>
      <c r="C24" s="172">
        <f>Fin_Analysis!I81</f>
        <v>0</v>
      </c>
      <c r="F24" s="140" t="s">
        <v>259</v>
      </c>
      <c r="G24" s="269">
        <f>G3/(Fin_Analysis!H86*G7)</f>
        <v>-2.4361588075127969</v>
      </c>
    </row>
    <row r="25" spans="1:8" ht="15.75" customHeight="1" x14ac:dyDescent="0.4">
      <c r="B25" s="137" t="s">
        <v>244</v>
      </c>
      <c r="C25" s="172">
        <f>Fin_Analysis!I82</f>
        <v>0.11560295610891069</v>
      </c>
      <c r="F25" s="140" t="s">
        <v>175</v>
      </c>
      <c r="G25" s="172">
        <f>Fin_Analysis!I88</f>
        <v>-0.33602190448452368</v>
      </c>
    </row>
    <row r="26" spans="1:8" ht="15.75" customHeight="1" x14ac:dyDescent="0.4">
      <c r="B26" s="138" t="s">
        <v>174</v>
      </c>
      <c r="C26" s="172">
        <f>Fin_Analysis!I83</f>
        <v>-0.11179283029271934</v>
      </c>
      <c r="F26" s="141" t="s">
        <v>194</v>
      </c>
      <c r="G26" s="179">
        <f>Fin_Analysis!H88*Exchange_Rate/G3</f>
        <v>0.13793103448275862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167</v>
      </c>
      <c r="D28" s="43" t="s">
        <v>168</v>
      </c>
      <c r="E28" s="58"/>
      <c r="F28" s="53" t="s">
        <v>238</v>
      </c>
      <c r="G28" s="272" t="s">
        <v>258</v>
      </c>
      <c r="H28" s="272"/>
    </row>
    <row r="29" spans="1:8" ht="15.75" customHeight="1" x14ac:dyDescent="0.4">
      <c r="B29" s="87" t="s">
        <v>169</v>
      </c>
      <c r="C29" s="130">
        <f>IF(Fin_Analysis!C108="Profit",Fin_Analysis!D100,IF(Fin_Analysis!C108="Dividend",Fin_Analysis!D103,Fin_Analysis!D106))</f>
        <v>0.36651078013944816</v>
      </c>
      <c r="D29" s="129">
        <f>G29*(1+G20)</f>
        <v>0.72455080945529271</v>
      </c>
      <c r="E29" s="87"/>
      <c r="F29" s="131">
        <f>IF(Fin_Analysis!C108="Profit",Fin_Analysis!F100,IF(Fin_Analysis!C108="Dividend",Fin_Analysis!F103,Fin_Analysis!F106))</f>
        <v>0.43118915310523315</v>
      </c>
      <c r="G29" s="273">
        <f>IF(Fin_Analysis!C108="Profit",Fin_Analysis!I100,IF(Fin_Analysis!C108="Dividend",Fin_Analysis!I103,Fin_Analysis!I106))</f>
        <v>0.63004418213503721</v>
      </c>
      <c r="H29" s="273"/>
    </row>
    <row r="30" spans="1:8" ht="15.75" customHeight="1" x14ac:dyDescent="0.4"/>
    <row r="31" spans="1:8" ht="15.75" customHeight="1" x14ac:dyDescent="0.4">
      <c r="A31" s="5"/>
      <c r="B31" s="6" t="s">
        <v>223</v>
      </c>
      <c r="C31"/>
    </row>
    <row r="32" spans="1:8" ht="15.75" customHeight="1" x14ac:dyDescent="0.4">
      <c r="A32"/>
      <c r="B32" s="197" t="s">
        <v>224</v>
      </c>
      <c r="C32" s="225"/>
    </row>
    <row r="33" spans="1:3" ht="15.75" customHeight="1" x14ac:dyDescent="0.4">
      <c r="A33"/>
      <c r="B33" s="20" t="s">
        <v>225</v>
      </c>
      <c r="C33" s="246" t="str">
        <f>Inputs!C17</f>
        <v>disagree</v>
      </c>
    </row>
    <row r="34" spans="1:3" ht="15.75" customHeight="1" x14ac:dyDescent="0.4">
      <c r="A34"/>
      <c r="B34" s="19" t="s">
        <v>226</v>
      </c>
      <c r="C34" s="226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7" t="s">
        <v>227</v>
      </c>
      <c r="C35" s="225"/>
    </row>
    <row r="36" spans="1:3" ht="15.75" customHeight="1" x14ac:dyDescent="0.4">
      <c r="A36"/>
      <c r="B36" s="20" t="s">
        <v>239</v>
      </c>
      <c r="C36" s="246" t="str">
        <f>Inputs!C18</f>
        <v>unclear</v>
      </c>
    </row>
    <row r="37" spans="1:3" ht="15.75" customHeight="1" x14ac:dyDescent="0.4">
      <c r="A37"/>
      <c r="B37" s="20" t="s">
        <v>240</v>
      </c>
      <c r="C37" s="246" t="str">
        <f>Inputs!C19</f>
        <v>unclear</v>
      </c>
    </row>
    <row r="38" spans="1:3" ht="15.75" customHeight="1" x14ac:dyDescent="0.4">
      <c r="A38"/>
      <c r="B38" s="197" t="s">
        <v>228</v>
      </c>
      <c r="C38" s="225"/>
    </row>
    <row r="39" spans="1:3" ht="15.75" customHeight="1" x14ac:dyDescent="0.4">
      <c r="A39"/>
      <c r="B39" s="19" t="s">
        <v>229</v>
      </c>
      <c r="C39" s="246" t="str">
        <f>Inputs!C20</f>
        <v>unclear</v>
      </c>
    </row>
    <row r="40" spans="1:3" ht="15.75" customHeight="1" x14ac:dyDescent="0.4">
      <c r="A40"/>
      <c r="B40" s="1" t="s">
        <v>232</v>
      </c>
      <c r="C40" s="246" t="str">
        <f>Inputs!C21</f>
        <v>disagree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230</v>
      </c>
      <c r="C42"/>
    </row>
    <row r="43" spans="1:3" ht="65.650000000000006" x14ac:dyDescent="0.4">
      <c r="A43"/>
      <c r="B43" s="227" t="s">
        <v>231</v>
      </c>
      <c r="C43" s="245" t="str">
        <f>Inputs!C22</f>
        <v>Commodity-type Business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49" t="s">
        <v>200</v>
      </c>
      <c r="F2" s="119" t="s">
        <v>203</v>
      </c>
      <c r="G2" s="149" t="s">
        <v>204</v>
      </c>
      <c r="H2" s="148" t="s">
        <v>205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10</v>
      </c>
      <c r="C3" s="202">
        <f>Inputs!C12</f>
        <v>45291</v>
      </c>
      <c r="E3" s="147" t="s">
        <v>201</v>
      </c>
      <c r="F3" s="85" t="str">
        <f>H14</f>
        <v/>
      </c>
      <c r="G3" s="85">
        <f>C14</f>
        <v>64444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11</v>
      </c>
      <c r="C4" s="128">
        <f>Inputs!C13</f>
        <v>1000</v>
      </c>
      <c r="D4" s="1" t="str">
        <f>Dashboard!G6</f>
        <v>HKD</v>
      </c>
      <c r="E4" s="147" t="s">
        <v>202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134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12</v>
      </c>
      <c r="C6" s="201">
        <f>IF(Inputs!C25=""," ",Inputs!C25)</f>
        <v>1487090</v>
      </c>
      <c r="D6" s="201">
        <f>IF(Inputs!D25="","",Inputs!D25)</f>
        <v>1462864</v>
      </c>
      <c r="E6" s="201" t="str">
        <f>IF(Inputs!E25="","",Inputs!E25)</f>
        <v/>
      </c>
      <c r="F6" s="201" t="str">
        <f>IF(Inputs!F25="","",Inputs!F25)</f>
        <v/>
      </c>
      <c r="G6" s="201" t="str">
        <f>IF(Inputs!G25="","",Inputs!G25)</f>
        <v/>
      </c>
      <c r="H6" s="201" t="str">
        <f>IF(Inputs!H25="","",Inputs!H25)</f>
        <v/>
      </c>
      <c r="I6" s="201" t="str">
        <f>IF(Inputs!I25="","",Inputs!I25)</f>
        <v/>
      </c>
      <c r="J6" s="201" t="str">
        <f>IF(Inputs!J25="","",Inputs!J25)</f>
        <v/>
      </c>
      <c r="K6" s="201" t="str">
        <f>IF(Inputs!K25="","",Inputs!K25)</f>
        <v/>
      </c>
      <c r="L6" s="201" t="str">
        <f>IF(Inputs!L25="","",Inputs!L25)</f>
        <v/>
      </c>
      <c r="M6" s="201" t="str">
        <f>IF(Inputs!M25="","",Inputs!M25)</f>
        <v/>
      </c>
      <c r="N6" s="87"/>
    </row>
    <row r="7" spans="1:14" ht="15.75" customHeight="1" x14ac:dyDescent="0.4">
      <c r="A7" s="4"/>
      <c r="B7" s="96" t="s">
        <v>13</v>
      </c>
      <c r="C7" s="92">
        <f t="shared" ref="C7:M7" si="1">IF(D6="","",C6/D6-1)</f>
        <v>1.6560664559384985E-2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106</v>
      </c>
      <c r="C8" s="200">
        <f>IF(Inputs!C26="","",Inputs!C26)</f>
        <v>692542</v>
      </c>
      <c r="D8" s="200">
        <f>IF(Inputs!D26="","",Inputs!D26)</f>
        <v>723325</v>
      </c>
      <c r="E8" s="200" t="str">
        <f>IF(Inputs!E26="","",Inputs!E26)</f>
        <v/>
      </c>
      <c r="F8" s="200" t="str">
        <f>IF(Inputs!F26="","",Inputs!F26)</f>
        <v/>
      </c>
      <c r="G8" s="200" t="str">
        <f>IF(Inputs!G26="","",Inputs!G26)</f>
        <v/>
      </c>
      <c r="H8" s="200" t="str">
        <f>IF(Inputs!H26="","",Inputs!H26)</f>
        <v/>
      </c>
      <c r="I8" s="200" t="str">
        <f>IF(Inputs!I26="","",Inputs!I26)</f>
        <v/>
      </c>
      <c r="J8" s="200" t="str">
        <f>IF(Inputs!J26="","",Inputs!J26)</f>
        <v/>
      </c>
      <c r="K8" s="200" t="str">
        <f>IF(Inputs!K26="","",Inputs!K26)</f>
        <v/>
      </c>
      <c r="L8" s="200" t="str">
        <f>IF(Inputs!L26="","",Inputs!L26)</f>
        <v/>
      </c>
      <c r="M8" s="200" t="str">
        <f>IF(Inputs!M26="","",Inputs!M26)</f>
        <v/>
      </c>
      <c r="N8" s="87"/>
    </row>
    <row r="9" spans="1:14" ht="15.75" customHeight="1" x14ac:dyDescent="0.4">
      <c r="A9" s="4"/>
      <c r="B9" s="98" t="s">
        <v>103</v>
      </c>
      <c r="C9" s="152">
        <f t="shared" ref="C9:M9" si="2">IF(C6="","",(C6-C8))</f>
        <v>794548</v>
      </c>
      <c r="D9" s="152">
        <f t="shared" si="2"/>
        <v>739539</v>
      </c>
      <c r="E9" s="152" t="str">
        <f t="shared" si="2"/>
        <v/>
      </c>
      <c r="F9" s="152" t="str">
        <f t="shared" si="2"/>
        <v/>
      </c>
      <c r="G9" s="152" t="str">
        <f t="shared" si="2"/>
        <v/>
      </c>
      <c r="H9" s="152" t="str">
        <f t="shared" si="2"/>
        <v/>
      </c>
      <c r="I9" s="152" t="str">
        <f t="shared" si="2"/>
        <v/>
      </c>
      <c r="J9" s="152" t="str">
        <f t="shared" si="2"/>
        <v/>
      </c>
      <c r="K9" s="152" t="str">
        <f t="shared" si="2"/>
        <v/>
      </c>
      <c r="L9" s="152" t="str">
        <f t="shared" si="2"/>
        <v/>
      </c>
      <c r="M9" s="152" t="str">
        <f t="shared" si="2"/>
        <v/>
      </c>
      <c r="N9" s="87"/>
    </row>
    <row r="10" spans="1:14" ht="15.75" customHeight="1" x14ac:dyDescent="0.4">
      <c r="A10" s="4"/>
      <c r="B10" s="97" t="s">
        <v>104</v>
      </c>
      <c r="C10" s="200">
        <f>IF(Inputs!C27="","",Inputs!C27)</f>
        <v>730104</v>
      </c>
      <c r="D10" s="200">
        <f>IF(Inputs!D27="","",Inputs!D27)</f>
        <v>665658</v>
      </c>
      <c r="E10" s="200" t="str">
        <f>IF(Inputs!E27="","",Inputs!E27)</f>
        <v/>
      </c>
      <c r="F10" s="200" t="str">
        <f>IF(Inputs!F27="","",Inputs!F27)</f>
        <v/>
      </c>
      <c r="G10" s="200" t="str">
        <f>IF(Inputs!G27="","",Inputs!G27)</f>
        <v/>
      </c>
      <c r="H10" s="200" t="str">
        <f>IF(Inputs!H27="","",Inputs!H27)</f>
        <v/>
      </c>
      <c r="I10" s="200" t="str">
        <f>IF(Inputs!I27="","",Inputs!I27)</f>
        <v/>
      </c>
      <c r="J10" s="200" t="str">
        <f>IF(Inputs!J27="","",Inputs!J27)</f>
        <v/>
      </c>
      <c r="K10" s="200" t="str">
        <f>IF(Inputs!K27="","",Inputs!K27)</f>
        <v/>
      </c>
      <c r="L10" s="200" t="str">
        <f>IF(Inputs!L27="","",Inputs!L27)</f>
        <v/>
      </c>
      <c r="M10" s="200" t="str">
        <f>IF(Inputs!M27="","",Inputs!M27)</f>
        <v/>
      </c>
      <c r="N10" s="87"/>
    </row>
    <row r="11" spans="1:14" ht="15.75" customHeight="1" x14ac:dyDescent="0.4">
      <c r="A11" s="4"/>
      <c r="B11" s="97" t="s">
        <v>107</v>
      </c>
      <c r="C11" s="200" t="str">
        <f>IF(Inputs!C28="","",Inputs!C28)</f>
        <v/>
      </c>
      <c r="D11" s="200" t="str">
        <f>IF(Inputs!D28="","",Inputs!D28)</f>
        <v/>
      </c>
      <c r="E11" s="200" t="str">
        <f>IF(Inputs!E28="","",Inputs!E28)</f>
        <v/>
      </c>
      <c r="F11" s="200" t="str">
        <f>IF(Inputs!F28="","",Inputs!F28)</f>
        <v/>
      </c>
      <c r="G11" s="200" t="str">
        <f>IF(Inputs!G28="","",Inputs!G28)</f>
        <v/>
      </c>
      <c r="H11" s="200" t="str">
        <f>IF(Inputs!H28="","",Inputs!H28)</f>
        <v/>
      </c>
      <c r="I11" s="200" t="str">
        <f>IF(Inputs!I28="","",Inputs!I28)</f>
        <v/>
      </c>
      <c r="J11" s="200" t="str">
        <f>IF(Inputs!J28="","",Inputs!J28)</f>
        <v/>
      </c>
      <c r="K11" s="200" t="str">
        <f>IF(Inputs!K28="","",Inputs!K28)</f>
        <v/>
      </c>
      <c r="L11" s="200" t="str">
        <f>IF(Inputs!L28="","",Inputs!L28)</f>
        <v/>
      </c>
      <c r="M11" s="200" t="str">
        <f>IF(Inputs!M28="","",Inputs!M28)</f>
        <v/>
      </c>
      <c r="N11" s="87"/>
    </row>
    <row r="12" spans="1:14" ht="15.75" customHeight="1" x14ac:dyDescent="0.4">
      <c r="A12" s="4"/>
      <c r="B12" s="99" t="s">
        <v>241</v>
      </c>
      <c r="C12" s="200" t="str">
        <f>IF(Inputs!C30="","",MAX(Inputs!C30,0)/(1-Fin_Analysis!$I$84))</f>
        <v/>
      </c>
      <c r="D12" s="200" t="str">
        <f>IF(Inputs!D30="","",MAX(Inputs!D30,0)/(1-Fin_Analysis!$I$84))</f>
        <v/>
      </c>
      <c r="E12" s="200" t="str">
        <f>IF(Inputs!E30="","",MAX(Inputs!E30,0)/(1-Fin_Analysis!$I$84))</f>
        <v/>
      </c>
      <c r="F12" s="200" t="str">
        <f>IF(Inputs!F30="","",MAX(Inputs!F30,0)/(1-Fin_Analysis!$I$84))</f>
        <v/>
      </c>
      <c r="G12" s="200" t="str">
        <f>IF(Inputs!G30="","",MAX(Inputs!G30,0)/(1-Fin_Analysis!$I$84))</f>
        <v/>
      </c>
      <c r="H12" s="200" t="str">
        <f>IF(Inputs!H30="","",MAX(Inputs!H30,0)/(1-Fin_Analysis!$I$84))</f>
        <v/>
      </c>
      <c r="I12" s="200" t="str">
        <f>IF(Inputs!I30="","",MAX(Inputs!I30,0)/(1-Fin_Analysis!$I$84))</f>
        <v/>
      </c>
      <c r="J12" s="200" t="str">
        <f>IF(Inputs!J30="","",MAX(Inputs!J30,0)/(1-Fin_Analysis!$I$84))</f>
        <v/>
      </c>
      <c r="K12" s="200" t="str">
        <f>IF(Inputs!K30="","",MAX(Inputs!K30,0)/(1-Fin_Analysis!$I$84))</f>
        <v/>
      </c>
      <c r="L12" s="200" t="str">
        <f>IF(Inputs!L30="","",MAX(Inputs!L30,0)/(1-Fin_Analysis!$I$84))</f>
        <v/>
      </c>
      <c r="M12" s="200" t="str">
        <f>IF(Inputs!M30="","",MAX(Inputs!M30,0)/(1-Fin_Analysis!$I$84))</f>
        <v/>
      </c>
      <c r="N12" s="87"/>
    </row>
    <row r="13" spans="1:14" ht="15.75" customHeight="1" x14ac:dyDescent="0.4">
      <c r="A13" s="4"/>
      <c r="B13" s="229" t="s">
        <v>242</v>
      </c>
      <c r="C13" s="230">
        <f t="shared" ref="C13:M13" si="3">IF(C14="","",C14/C6)</f>
        <v>4.333564209294663E-2</v>
      </c>
      <c r="D13" s="230">
        <f t="shared" si="3"/>
        <v>5.0504353104594821E-2</v>
      </c>
      <c r="E13" s="230" t="str">
        <f t="shared" si="3"/>
        <v/>
      </c>
      <c r="F13" s="230" t="str">
        <f t="shared" si="3"/>
        <v/>
      </c>
      <c r="G13" s="230" t="str">
        <f t="shared" si="3"/>
        <v/>
      </c>
      <c r="H13" s="230" t="str">
        <f t="shared" si="3"/>
        <v/>
      </c>
      <c r="I13" s="230" t="str">
        <f t="shared" si="3"/>
        <v/>
      </c>
      <c r="J13" s="230" t="str">
        <f t="shared" si="3"/>
        <v/>
      </c>
      <c r="K13" s="230" t="str">
        <f t="shared" si="3"/>
        <v/>
      </c>
      <c r="L13" s="230" t="str">
        <f t="shared" si="3"/>
        <v/>
      </c>
      <c r="M13" s="230" t="str">
        <f t="shared" si="3"/>
        <v/>
      </c>
      <c r="N13" s="87"/>
    </row>
    <row r="14" spans="1:14" ht="15.75" customHeight="1" x14ac:dyDescent="0.4">
      <c r="A14" s="4"/>
      <c r="B14" s="229" t="s">
        <v>234</v>
      </c>
      <c r="C14" s="231">
        <f>IF(C6="","",C9-C10-MAX(C11,0)-MAX(C12,0))</f>
        <v>64444</v>
      </c>
      <c r="D14" s="231">
        <f t="shared" ref="D14:M14" si="4">IF(D6="","",D9-D10-MAX(D11,0)-MAX(D12,0))</f>
        <v>73881</v>
      </c>
      <c r="E14" s="231" t="str">
        <f t="shared" si="4"/>
        <v/>
      </c>
      <c r="F14" s="231" t="str">
        <f t="shared" si="4"/>
        <v/>
      </c>
      <c r="G14" s="231" t="str">
        <f t="shared" si="4"/>
        <v/>
      </c>
      <c r="H14" s="231" t="str">
        <f t="shared" si="4"/>
        <v/>
      </c>
      <c r="I14" s="231" t="str">
        <f t="shared" si="4"/>
        <v/>
      </c>
      <c r="J14" s="231" t="str">
        <f t="shared" si="4"/>
        <v/>
      </c>
      <c r="K14" s="231" t="str">
        <f t="shared" si="4"/>
        <v/>
      </c>
      <c r="L14" s="231" t="str">
        <f t="shared" si="4"/>
        <v/>
      </c>
      <c r="M14" s="231" t="str">
        <f t="shared" si="4"/>
        <v/>
      </c>
      <c r="N14" s="87"/>
    </row>
    <row r="15" spans="1:14" ht="15.75" customHeight="1" x14ac:dyDescent="0.4">
      <c r="A15" s="4"/>
      <c r="B15" s="232" t="s">
        <v>243</v>
      </c>
      <c r="C15" s="233">
        <f>IF(D14="","",IF(ABS(C14+D14)=ABS(C14)+ABS(D14),IF(C14&lt;0,-1,1)*(C14-D14)/D14,"Turn"))</f>
        <v>-0.12773243459076081</v>
      </c>
      <c r="D15" s="233" t="str">
        <f t="shared" ref="D15:M15" si="5">IF(E14="","",IF(ABS(D14+E14)=ABS(D14)+ABS(E14),IF(D14&lt;0,-1,1)*(D14-E14)/E14,"Turn"))</f>
        <v/>
      </c>
      <c r="E15" s="233" t="str">
        <f t="shared" si="5"/>
        <v/>
      </c>
      <c r="F15" s="233" t="str">
        <f t="shared" si="5"/>
        <v/>
      </c>
      <c r="G15" s="233" t="str">
        <f t="shared" si="5"/>
        <v/>
      </c>
      <c r="H15" s="233" t="str">
        <f t="shared" si="5"/>
        <v/>
      </c>
      <c r="I15" s="233" t="str">
        <f t="shared" si="5"/>
        <v/>
      </c>
      <c r="J15" s="233" t="str">
        <f t="shared" si="5"/>
        <v/>
      </c>
      <c r="K15" s="233" t="str">
        <f t="shared" si="5"/>
        <v/>
      </c>
      <c r="L15" s="233" t="str">
        <f t="shared" si="5"/>
        <v/>
      </c>
      <c r="M15" s="233" t="str">
        <f t="shared" si="5"/>
        <v/>
      </c>
      <c r="N15" s="87"/>
    </row>
    <row r="16" spans="1:14" ht="15.75" customHeight="1" x14ac:dyDescent="0.4">
      <c r="A16" s="4"/>
      <c r="B16" s="97" t="s">
        <v>110</v>
      </c>
      <c r="C16" s="200">
        <f>IF(Inputs!C31="","",Inputs!C31)</f>
        <v>58778</v>
      </c>
      <c r="D16" s="200">
        <f>IF(Inputs!D31="","",Inputs!D31)</f>
        <v>38349</v>
      </c>
      <c r="E16" s="200" t="str">
        <f>IF(Inputs!E31="","",Inputs!E31)</f>
        <v/>
      </c>
      <c r="F16" s="200" t="str">
        <f>IF(Inputs!F31="","",Inputs!F31)</f>
        <v/>
      </c>
      <c r="G16" s="200" t="str">
        <f>IF(Inputs!G31="","",Inputs!G31)</f>
        <v/>
      </c>
      <c r="H16" s="200" t="str">
        <f>IF(Inputs!H31="","",Inputs!H31)</f>
        <v/>
      </c>
      <c r="I16" s="200" t="str">
        <f>IF(Inputs!I31="","",Inputs!I31)</f>
        <v/>
      </c>
      <c r="J16" s="200" t="str">
        <f>IF(Inputs!J31="","",Inputs!J31)</f>
        <v/>
      </c>
      <c r="K16" s="200" t="str">
        <f>IF(Inputs!K31="","",Inputs!K31)</f>
        <v/>
      </c>
      <c r="L16" s="200" t="str">
        <f>IF(Inputs!L31="","",Inputs!L31)</f>
        <v/>
      </c>
      <c r="M16" s="200" t="str">
        <f>IF(Inputs!M31="","",Inputs!M31)</f>
        <v/>
      </c>
      <c r="N16" s="87"/>
    </row>
    <row r="17" spans="1:14" ht="15.75" customHeight="1" x14ac:dyDescent="0.4">
      <c r="A17" s="4"/>
      <c r="B17" s="97" t="s">
        <v>257</v>
      </c>
      <c r="C17" s="200" t="str">
        <f>IF(Inputs!C29="","",Inputs!C29)</f>
        <v/>
      </c>
      <c r="D17" s="200" t="str">
        <f>IF(Inputs!D29="","",Inputs!D29)</f>
        <v/>
      </c>
      <c r="E17" s="200" t="str">
        <f>IF(Inputs!E29="","",Inputs!E29)</f>
        <v/>
      </c>
      <c r="F17" s="200" t="str">
        <f>IF(Inputs!F29="","",Inputs!F29)</f>
        <v/>
      </c>
      <c r="G17" s="200" t="str">
        <f>IF(Inputs!G29="","",Inputs!G29)</f>
        <v/>
      </c>
      <c r="H17" s="200" t="str">
        <f>IF(Inputs!H29="","",Inputs!H29)</f>
        <v/>
      </c>
      <c r="I17" s="200" t="str">
        <f>IF(Inputs!I29="","",Inputs!I29)</f>
        <v/>
      </c>
      <c r="J17" s="200" t="str">
        <f>IF(Inputs!J29="","",Inputs!J29)</f>
        <v/>
      </c>
      <c r="K17" s="200" t="str">
        <f>IF(Inputs!K29="","",Inputs!K29)</f>
        <v/>
      </c>
      <c r="L17" s="200" t="str">
        <f>IF(Inputs!L29="","",Inputs!L29)</f>
        <v/>
      </c>
      <c r="M17" s="200" t="str">
        <f>IF(Inputs!M29="","",Inputs!M29)</f>
        <v/>
      </c>
      <c r="N17" s="87"/>
    </row>
    <row r="18" spans="1:14" ht="15.75" customHeight="1" x14ac:dyDescent="0.4">
      <c r="A18" s="4"/>
      <c r="B18" s="94" t="s">
        <v>99</v>
      </c>
      <c r="C18" s="153">
        <f t="shared" ref="C18:M18" si="6">IF(OR(C6="",C19=""),"",C19/C6)</f>
        <v>0.14117437411320094</v>
      </c>
      <c r="D18" s="153">
        <f t="shared" si="6"/>
        <v>0.13017888197399075</v>
      </c>
      <c r="E18" s="153" t="str">
        <f t="shared" si="6"/>
        <v/>
      </c>
      <c r="F18" s="153" t="str">
        <f t="shared" si="6"/>
        <v/>
      </c>
      <c r="G18" s="153" t="str">
        <f t="shared" si="6"/>
        <v/>
      </c>
      <c r="H18" s="153" t="str">
        <f t="shared" si="6"/>
        <v/>
      </c>
      <c r="I18" s="153" t="str">
        <f t="shared" si="6"/>
        <v/>
      </c>
      <c r="J18" s="153" t="str">
        <f t="shared" si="6"/>
        <v/>
      </c>
      <c r="K18" s="153" t="str">
        <f t="shared" si="6"/>
        <v/>
      </c>
      <c r="L18" s="153" t="str">
        <f t="shared" si="6"/>
        <v/>
      </c>
      <c r="M18" s="153" t="str">
        <f t="shared" si="6"/>
        <v/>
      </c>
      <c r="N18" s="87"/>
    </row>
    <row r="19" spans="1:14" ht="15.75" customHeight="1" x14ac:dyDescent="0.4">
      <c r="A19" s="4"/>
      <c r="B19" s="97" t="s">
        <v>105</v>
      </c>
      <c r="C19" s="200">
        <f>IF(Inputs!C32="","",Inputs!C32)</f>
        <v>209939</v>
      </c>
      <c r="D19" s="200">
        <f>IF(Inputs!D32="","",Inputs!D32)</f>
        <v>190434</v>
      </c>
      <c r="E19" s="200" t="str">
        <f>IF(Inputs!E32="","",Inputs!E32)</f>
        <v/>
      </c>
      <c r="F19" s="200" t="str">
        <f>IF(Inputs!F32="","",Inputs!F32)</f>
        <v/>
      </c>
      <c r="G19" s="200" t="str">
        <f>IF(Inputs!G32="","",Inputs!G32)</f>
        <v/>
      </c>
      <c r="H19" s="200" t="str">
        <f>IF(Inputs!H32="","",Inputs!H32)</f>
        <v/>
      </c>
      <c r="I19" s="200" t="str">
        <f>IF(Inputs!I32="","",Inputs!I32)</f>
        <v/>
      </c>
      <c r="J19" s="200" t="str">
        <f>IF(Inputs!J32="","",Inputs!J32)</f>
        <v/>
      </c>
      <c r="K19" s="200" t="str">
        <f>IF(Inputs!K32="","",Inputs!K32)</f>
        <v/>
      </c>
      <c r="L19" s="200" t="str">
        <f>IF(Inputs!L32="","",Inputs!L32)</f>
        <v/>
      </c>
      <c r="M19" s="200" t="str">
        <f>IF(Inputs!M32="","",Inputs!M32)</f>
        <v/>
      </c>
      <c r="N19" s="87"/>
    </row>
    <row r="20" spans="1:14" ht="15.75" customHeight="1" x14ac:dyDescent="0.4">
      <c r="A20" s="4"/>
      <c r="B20" s="97" t="s">
        <v>236</v>
      </c>
      <c r="C20" s="153">
        <f t="shared" ref="C20:M20" si="7">IF(C6="","",MAX(C21,0)/C6)</f>
        <v>2.5571418004290258E-2</v>
      </c>
      <c r="D20" s="153">
        <f t="shared" si="7"/>
        <v>4.1429688610834639E-2</v>
      </c>
      <c r="E20" s="153" t="str">
        <f t="shared" si="7"/>
        <v/>
      </c>
      <c r="F20" s="153" t="str">
        <f t="shared" si="7"/>
        <v/>
      </c>
      <c r="G20" s="153" t="str">
        <f t="shared" si="7"/>
        <v/>
      </c>
      <c r="H20" s="153" t="str">
        <f t="shared" si="7"/>
        <v/>
      </c>
      <c r="I20" s="153" t="str">
        <f t="shared" si="7"/>
        <v/>
      </c>
      <c r="J20" s="153" t="str">
        <f t="shared" si="7"/>
        <v/>
      </c>
      <c r="K20" s="153" t="str">
        <f t="shared" si="7"/>
        <v/>
      </c>
      <c r="L20" s="153" t="str">
        <f t="shared" si="7"/>
        <v/>
      </c>
      <c r="M20" s="153" t="str">
        <f t="shared" si="7"/>
        <v/>
      </c>
      <c r="N20" s="87"/>
    </row>
    <row r="21" spans="1:14" ht="15.75" customHeight="1" x14ac:dyDescent="0.4">
      <c r="A21" s="4"/>
      <c r="B21" s="97" t="s">
        <v>108</v>
      </c>
      <c r="C21" s="200">
        <f>IF(Inputs!C33="","",Inputs!C33)</f>
        <v>38027</v>
      </c>
      <c r="D21" s="200">
        <f>IF(Inputs!D33="","",Inputs!D33)</f>
        <v>60606</v>
      </c>
      <c r="E21" s="200" t="str">
        <f>IF(Inputs!E33="","",Inputs!E33)</f>
        <v/>
      </c>
      <c r="F21" s="200" t="str">
        <f>IF(Inputs!F33="","",Inputs!F33)</f>
        <v/>
      </c>
      <c r="G21" s="200" t="str">
        <f>IF(Inputs!G33="","",Inputs!G33)</f>
        <v/>
      </c>
      <c r="H21" s="200" t="str">
        <f>IF(Inputs!H33="","",Inputs!H33)</f>
        <v/>
      </c>
      <c r="I21" s="200" t="str">
        <f>IF(Inputs!I33="","",Inputs!I33)</f>
        <v/>
      </c>
      <c r="J21" s="200" t="str">
        <f>IF(Inputs!J33="","",Inputs!J33)</f>
        <v/>
      </c>
      <c r="K21" s="200" t="str">
        <f>IF(Inputs!K33="","",Inputs!K33)</f>
        <v/>
      </c>
      <c r="L21" s="200" t="str">
        <f>IF(Inputs!L33="","",Inputs!L33)</f>
        <v/>
      </c>
      <c r="M21" s="200" t="str">
        <f>IF(Inputs!M33="","",Inputs!M33)</f>
        <v/>
      </c>
      <c r="N21" s="87"/>
    </row>
    <row r="22" spans="1:14" ht="15.75" customHeight="1" x14ac:dyDescent="0.4">
      <c r="A22" s="4"/>
      <c r="B22" s="98" t="s">
        <v>112</v>
      </c>
      <c r="C22" s="162">
        <f>IF(C6="","",C14-MAX(C16,0)-MAX(C17,0)-ABS(MAX(C21,0)-MAX(C19,0)))</f>
        <v>-166246</v>
      </c>
      <c r="D22" s="162">
        <f t="shared" ref="D22:M22" si="8">IF(D6="","",D14-MAX(D16,0)-MAX(D17,0)-ABS(MAX(D21,0)-MAX(D19,0)))</f>
        <v>-94296</v>
      </c>
      <c r="E22" s="162" t="str">
        <f t="shared" si="8"/>
        <v/>
      </c>
      <c r="F22" s="162" t="str">
        <f t="shared" si="8"/>
        <v/>
      </c>
      <c r="G22" s="162" t="str">
        <f t="shared" si="8"/>
        <v/>
      </c>
      <c r="H22" s="162" t="str">
        <f t="shared" si="8"/>
        <v/>
      </c>
      <c r="I22" s="162" t="str">
        <f t="shared" si="8"/>
        <v/>
      </c>
      <c r="J22" s="162" t="str">
        <f t="shared" si="8"/>
        <v/>
      </c>
      <c r="K22" s="162" t="str">
        <f t="shared" si="8"/>
        <v/>
      </c>
      <c r="L22" s="162" t="str">
        <f t="shared" si="8"/>
        <v/>
      </c>
      <c r="M22" s="162" t="str">
        <f t="shared" si="8"/>
        <v/>
      </c>
      <c r="N22" s="87"/>
    </row>
    <row r="23" spans="1:14" ht="15.75" customHeight="1" x14ac:dyDescent="0.4">
      <c r="A23" s="4"/>
      <c r="B23" s="100" t="s">
        <v>113</v>
      </c>
      <c r="C23" s="154">
        <f t="shared" ref="C23:M23" si="9">IF(C6="","",C24/C6)</f>
        <v>-9.3347013294420647E-2</v>
      </c>
      <c r="D23" s="154">
        <f t="shared" si="9"/>
        <v>-5.3823978168852336E-2</v>
      </c>
      <c r="E23" s="154" t="str">
        <f t="shared" si="9"/>
        <v/>
      </c>
      <c r="F23" s="154" t="str">
        <f t="shared" si="9"/>
        <v/>
      </c>
      <c r="G23" s="154" t="str">
        <f t="shared" si="9"/>
        <v/>
      </c>
      <c r="H23" s="154" t="str">
        <f t="shared" si="9"/>
        <v/>
      </c>
      <c r="I23" s="154" t="str">
        <f t="shared" si="9"/>
        <v/>
      </c>
      <c r="J23" s="154" t="str">
        <f t="shared" si="9"/>
        <v/>
      </c>
      <c r="K23" s="154" t="str">
        <f t="shared" si="9"/>
        <v/>
      </c>
      <c r="L23" s="154" t="str">
        <f t="shared" si="9"/>
        <v/>
      </c>
      <c r="M23" s="154" t="str">
        <f t="shared" si="9"/>
        <v/>
      </c>
      <c r="N23" s="87"/>
    </row>
    <row r="24" spans="1:14" ht="15.75" customHeight="1" x14ac:dyDescent="0.4">
      <c r="A24" s="4"/>
      <c r="B24" s="101" t="s">
        <v>114</v>
      </c>
      <c r="C24" s="155">
        <f>IF(C6="","",C22*(1-Fin_Analysis!$I$84))</f>
        <v>-138815.41</v>
      </c>
      <c r="D24" s="77">
        <f>IF(D6="","",D22*(1-Fin_Analysis!$I$84))</f>
        <v>-78737.16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5" t="s">
        <v>129</v>
      </c>
      <c r="C25" s="234">
        <f>IF(D24="","",IF(ABS(C24+D24)=ABS(C24)+ABS(D24),IF(C24&lt;0,-1,1)*(C24-D24)/D24,"Turn"))</f>
        <v>-0.76302282175277847</v>
      </c>
      <c r="D25" s="234" t="str">
        <f t="shared" ref="D25:M25" si="10">IF(E24="","",IF(ABS(D24+E24)=ABS(D24)+ABS(E24),IF(D24&lt;0,-1,1)*(D24-E24)/E24,"Turn"))</f>
        <v/>
      </c>
      <c r="E25" s="234" t="str">
        <f t="shared" si="10"/>
        <v/>
      </c>
      <c r="F25" s="234" t="str">
        <f t="shared" si="10"/>
        <v/>
      </c>
      <c r="G25" s="234" t="str">
        <f t="shared" si="10"/>
        <v/>
      </c>
      <c r="H25" s="234" t="str">
        <f t="shared" si="10"/>
        <v/>
      </c>
      <c r="I25" s="234" t="str">
        <f t="shared" si="10"/>
        <v/>
      </c>
      <c r="J25" s="234" t="str">
        <f t="shared" si="10"/>
        <v/>
      </c>
      <c r="K25" s="234" t="str">
        <f t="shared" si="10"/>
        <v/>
      </c>
      <c r="L25" s="234" t="str">
        <f t="shared" si="10"/>
        <v/>
      </c>
      <c r="M25" s="234" t="str">
        <f t="shared" si="10"/>
        <v/>
      </c>
      <c r="N25" s="87"/>
    </row>
    <row r="26" spans="1:14" ht="15.75" customHeight="1" thickTop="1" x14ac:dyDescent="0.4">
      <c r="A26" s="16"/>
      <c r="B26" s="114" t="s">
        <v>135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14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15</v>
      </c>
      <c r="C28" s="65">
        <f>Fin_Analysis!C28</f>
        <v>0</v>
      </c>
      <c r="D28" s="200" t="str">
        <f>IF(Inputs!D34="","",Inputs!D34)</f>
        <v/>
      </c>
      <c r="E28" s="200" t="str">
        <f>IF(Inputs!E34="","",Inputs!E34)</f>
        <v/>
      </c>
      <c r="F28" s="200" t="str">
        <f>IF(Inputs!F34="","",Inputs!F34)</f>
        <v/>
      </c>
      <c r="G28" s="200" t="str">
        <f>IF(Inputs!G34="","",Inputs!G34)</f>
        <v/>
      </c>
      <c r="H28" s="200" t="str">
        <f>IF(Inputs!H34="","",Inputs!H34)</f>
        <v/>
      </c>
      <c r="I28" s="200" t="str">
        <f>IF(Inputs!I34="","",Inputs!I34)</f>
        <v/>
      </c>
      <c r="J28" s="200" t="str">
        <f>IF(Inputs!J34="","",Inputs!J34)</f>
        <v/>
      </c>
      <c r="K28" s="200" t="str">
        <f>IF(Inputs!K34="","",Inputs!K34)</f>
        <v/>
      </c>
      <c r="L28" s="200" t="str">
        <f>IF(Inputs!L34="","",Inputs!L34)</f>
        <v/>
      </c>
      <c r="M28" s="200" t="str">
        <f>IF(Inputs!M34="","",Inputs!M34)</f>
        <v/>
      </c>
      <c r="N28" s="87"/>
    </row>
    <row r="29" spans="1:14" ht="15.75" customHeight="1" x14ac:dyDescent="0.4">
      <c r="A29" s="4"/>
      <c r="B29" s="94" t="s">
        <v>117</v>
      </c>
      <c r="C29" s="65">
        <f>Fin_Analysis!C13</f>
        <v>0</v>
      </c>
      <c r="D29" s="200" t="str">
        <f>IF(Inputs!D35="","",Inputs!D35)</f>
        <v/>
      </c>
      <c r="E29" s="200" t="str">
        <f>IF(Inputs!E35="","",Inputs!E35)</f>
        <v/>
      </c>
      <c r="F29" s="200" t="str">
        <f>IF(Inputs!F35="","",Inputs!F35)</f>
        <v/>
      </c>
      <c r="G29" s="200" t="str">
        <f>IF(Inputs!G35="","",Inputs!G35)</f>
        <v/>
      </c>
      <c r="H29" s="200" t="str">
        <f>IF(Inputs!H35="","",Inputs!H35)</f>
        <v/>
      </c>
      <c r="I29" s="200" t="str">
        <f>IF(Inputs!I35="","",Inputs!I35)</f>
        <v/>
      </c>
      <c r="J29" s="200" t="str">
        <f>IF(Inputs!J35="","",Inputs!J35)</f>
        <v/>
      </c>
      <c r="K29" s="200" t="str">
        <f>IF(Inputs!K35="","",Inputs!K35)</f>
        <v/>
      </c>
      <c r="L29" s="200" t="str">
        <f>IF(Inputs!L35="","",Inputs!L35)</f>
        <v/>
      </c>
      <c r="M29" s="200" t="str">
        <f>IF(Inputs!M35="","",Inputs!M35)</f>
        <v/>
      </c>
      <c r="N29" s="87"/>
    </row>
    <row r="30" spans="1:14" ht="15.75" customHeight="1" x14ac:dyDescent="0.4">
      <c r="A30" s="4"/>
      <c r="B30" s="94" t="s">
        <v>149</v>
      </c>
      <c r="C30" s="65">
        <f>Fin_Analysis!C18</f>
        <v>0</v>
      </c>
      <c r="D30" s="200" t="str">
        <f>IF(Inputs!D36="","",Inputs!D36)</f>
        <v/>
      </c>
      <c r="E30" s="200" t="str">
        <f>IF(Inputs!E36="","",Inputs!E36)</f>
        <v/>
      </c>
      <c r="F30" s="200" t="str">
        <f>IF(Inputs!F36="","",Inputs!F36)</f>
        <v/>
      </c>
      <c r="G30" s="200" t="str">
        <f>IF(Inputs!G36="","",Inputs!G36)</f>
        <v/>
      </c>
      <c r="H30" s="200" t="str">
        <f>IF(Inputs!H36="","",Inputs!H36)</f>
        <v/>
      </c>
      <c r="I30" s="200" t="str">
        <f>IF(Inputs!I36="","",Inputs!I36)</f>
        <v/>
      </c>
      <c r="J30" s="200" t="str">
        <f>IF(Inputs!J36="","",Inputs!J36)</f>
        <v/>
      </c>
      <c r="K30" s="200" t="str">
        <f>IF(Inputs!K36="","",Inputs!K36)</f>
        <v/>
      </c>
      <c r="L30" s="200" t="str">
        <f>IF(Inputs!L36="","",Inputs!L36)</f>
        <v/>
      </c>
      <c r="M30" s="200" t="str">
        <f>IF(Inputs!M36="","",Inputs!M36)</f>
        <v/>
      </c>
      <c r="N30" s="87"/>
    </row>
    <row r="31" spans="1:14" ht="15.75" customHeight="1" x14ac:dyDescent="0.4">
      <c r="A31" s="4"/>
      <c r="B31" s="94" t="s">
        <v>16</v>
      </c>
      <c r="C31" s="65">
        <f>Fin_Analysis!I28</f>
        <v>0</v>
      </c>
      <c r="D31" s="200" t="str">
        <f>IF(Inputs!D37="","",Inputs!D37)</f>
        <v/>
      </c>
      <c r="E31" s="200" t="str">
        <f>IF(Inputs!E37="","",Inputs!E37)</f>
        <v/>
      </c>
      <c r="F31" s="200" t="str">
        <f>IF(Inputs!F37="","",Inputs!F37)</f>
        <v/>
      </c>
      <c r="G31" s="200" t="str">
        <f>IF(Inputs!G37="","",Inputs!G37)</f>
        <v/>
      </c>
      <c r="H31" s="200" t="str">
        <f>IF(Inputs!H37="","",Inputs!H37)</f>
        <v/>
      </c>
      <c r="I31" s="200" t="str">
        <f>IF(Inputs!I37="","",Inputs!I37)</f>
        <v/>
      </c>
      <c r="J31" s="200" t="str">
        <f>IF(Inputs!J37="","",Inputs!J37)</f>
        <v/>
      </c>
      <c r="K31" s="200" t="str">
        <f>IF(Inputs!K37="","",Inputs!K37)</f>
        <v/>
      </c>
      <c r="L31" s="200" t="str">
        <f>IF(Inputs!L37="","",Inputs!L37)</f>
        <v/>
      </c>
      <c r="M31" s="200" t="str">
        <f>IF(Inputs!M37="","",Inputs!M37)</f>
        <v/>
      </c>
      <c r="N31" s="87"/>
    </row>
    <row r="32" spans="1:14" ht="15.75" customHeight="1" x14ac:dyDescent="0.4">
      <c r="A32" s="4"/>
      <c r="B32" s="94" t="s">
        <v>116</v>
      </c>
      <c r="C32" s="65">
        <f>Fin_Analysis!I48</f>
        <v>0</v>
      </c>
      <c r="D32" s="200" t="str">
        <f>IF(Inputs!D38="","",Inputs!D38)</f>
        <v/>
      </c>
      <c r="E32" s="200" t="str">
        <f>IF(Inputs!E38="","",Inputs!E38)</f>
        <v/>
      </c>
      <c r="F32" s="200" t="str">
        <f>IF(Inputs!F38="","",Inputs!F38)</f>
        <v/>
      </c>
      <c r="G32" s="200" t="str">
        <f>IF(Inputs!G38="","",Inputs!G38)</f>
        <v/>
      </c>
      <c r="H32" s="200" t="str">
        <f>IF(Inputs!H38="","",Inputs!H38)</f>
        <v/>
      </c>
      <c r="I32" s="200" t="str">
        <f>IF(Inputs!I38="","",Inputs!I38)</f>
        <v/>
      </c>
      <c r="J32" s="200" t="str">
        <f>IF(Inputs!J38="","",Inputs!J38)</f>
        <v/>
      </c>
      <c r="K32" s="200" t="str">
        <f>IF(Inputs!K38="","",Inputs!K38)</f>
        <v/>
      </c>
      <c r="L32" s="200" t="str">
        <f>IF(Inputs!L38="","",Inputs!L38)</f>
        <v/>
      </c>
      <c r="M32" s="200" t="str">
        <f>IF(Inputs!M38="","",Inputs!M38)</f>
        <v/>
      </c>
      <c r="N32" s="87"/>
    </row>
    <row r="33" spans="1:14" ht="15.5" customHeight="1" x14ac:dyDescent="0.4">
      <c r="A33" s="4"/>
      <c r="B33" s="94" t="s">
        <v>17</v>
      </c>
      <c r="C33" s="65">
        <f>Fin_Analysis!I15</f>
        <v>0</v>
      </c>
      <c r="D33" s="200" t="str">
        <f>IF(Inputs!D39="","",Inputs!D39)</f>
        <v/>
      </c>
      <c r="E33" s="200" t="str">
        <f>IF(Inputs!E39="","",Inputs!E39)</f>
        <v/>
      </c>
      <c r="F33" s="200" t="str">
        <f>IF(Inputs!F39="","",Inputs!F39)</f>
        <v/>
      </c>
      <c r="G33" s="200" t="str">
        <f>IF(Inputs!G39="","",Inputs!G39)</f>
        <v/>
      </c>
      <c r="H33" s="200" t="str">
        <f>IF(Inputs!H39="","",Inputs!H39)</f>
        <v/>
      </c>
      <c r="I33" s="200" t="str">
        <f>IF(Inputs!I39="","",Inputs!I39)</f>
        <v/>
      </c>
      <c r="J33" s="200" t="str">
        <f>IF(Inputs!J39="","",Inputs!J39)</f>
        <v/>
      </c>
      <c r="K33" s="200" t="str">
        <f>IF(Inputs!K39="","",Inputs!K39)</f>
        <v/>
      </c>
      <c r="L33" s="200" t="str">
        <f>IF(Inputs!L39="","",Inputs!L39)</f>
        <v/>
      </c>
      <c r="M33" s="200" t="str">
        <f>IF(Inputs!M39="","",Inputs!M39)</f>
        <v/>
      </c>
      <c r="N33" s="87"/>
    </row>
    <row r="34" spans="1:14" ht="15.75" customHeight="1" x14ac:dyDescent="0.4">
      <c r="A34" s="4"/>
      <c r="B34" s="94" t="s">
        <v>18</v>
      </c>
      <c r="C34" s="65">
        <f>Fin_Analysis!I34</f>
        <v>0</v>
      </c>
      <c r="D34" s="200" t="str">
        <f>IF(Inputs!D40="","",Inputs!D40)</f>
        <v/>
      </c>
      <c r="E34" s="200" t="str">
        <f>IF(Inputs!E40="","",Inputs!E40)</f>
        <v/>
      </c>
      <c r="F34" s="200" t="str">
        <f>IF(Inputs!F40="","",Inputs!F40)</f>
        <v/>
      </c>
      <c r="G34" s="200" t="str">
        <f>IF(Inputs!G40="","",Inputs!G40)</f>
        <v/>
      </c>
      <c r="H34" s="200" t="str">
        <f>IF(Inputs!H40="","",Inputs!H40)</f>
        <v/>
      </c>
      <c r="I34" s="200" t="str">
        <f>IF(Inputs!I40="","",Inputs!I40)</f>
        <v/>
      </c>
      <c r="J34" s="200" t="str">
        <f>IF(Inputs!J40="","",Inputs!J40)</f>
        <v/>
      </c>
      <c r="K34" s="200" t="str">
        <f>IF(Inputs!K40="","",Inputs!K40)</f>
        <v/>
      </c>
      <c r="L34" s="200" t="str">
        <f>IF(Inputs!L40="","",Inputs!L40)</f>
        <v/>
      </c>
      <c r="M34" s="200" t="str">
        <f>IF(Inputs!M40="","",Inputs!M40)</f>
        <v/>
      </c>
      <c r="N34" s="87"/>
    </row>
    <row r="35" spans="1:14" ht="15.75" customHeight="1" x14ac:dyDescent="0.4">
      <c r="A35" s="4"/>
      <c r="B35" s="94" t="s">
        <v>19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138</v>
      </c>
      <c r="C36" s="65">
        <f>Fin_Analysis!D3</f>
        <v>0</v>
      </c>
      <c r="D36" s="200" t="str">
        <f>IF(Inputs!D41="","",Inputs!D41)</f>
        <v/>
      </c>
      <c r="E36" s="200" t="str">
        <f>IF(Inputs!E41="","",Inputs!E41)</f>
        <v/>
      </c>
      <c r="F36" s="200" t="str">
        <f>IF(Inputs!F41="","",Inputs!F41)</f>
        <v/>
      </c>
      <c r="G36" s="200" t="str">
        <f>IF(Inputs!G41="","",Inputs!G41)</f>
        <v/>
      </c>
      <c r="H36" s="200" t="str">
        <f>IF(Inputs!H41="","",Inputs!H41)</f>
        <v/>
      </c>
      <c r="I36" s="200" t="str">
        <f>IF(Inputs!I41="","",Inputs!I41)</f>
        <v/>
      </c>
      <c r="J36" s="200" t="str">
        <f>IF(Inputs!J41="","",Inputs!J41)</f>
        <v/>
      </c>
      <c r="K36" s="200" t="str">
        <f>IF(Inputs!K41="","",Inputs!K41)</f>
        <v/>
      </c>
      <c r="L36" s="200" t="str">
        <f>IF(Inputs!L41="","",Inputs!L41)</f>
        <v/>
      </c>
      <c r="M36" s="200" t="str">
        <f>IF(Inputs!M41="","",Inputs!M41)</f>
        <v/>
      </c>
      <c r="N36" s="87"/>
    </row>
    <row r="37" spans="1:14" ht="15.75" customHeight="1" x14ac:dyDescent="0.4">
      <c r="A37" s="4"/>
      <c r="B37" s="94" t="s">
        <v>139</v>
      </c>
      <c r="C37" s="65">
        <f>Fin_Analysis!D4</f>
        <v>0</v>
      </c>
      <c r="D37" s="200" t="str">
        <f>IF(Inputs!D42="","",Inputs!D42)</f>
        <v/>
      </c>
      <c r="E37" s="200" t="str">
        <f>IF(Inputs!E42="","",Inputs!E42)</f>
        <v/>
      </c>
      <c r="F37" s="200" t="str">
        <f>IF(Inputs!F42="","",Inputs!F42)</f>
        <v/>
      </c>
      <c r="G37" s="200" t="str">
        <f>IF(Inputs!G42="","",Inputs!G42)</f>
        <v/>
      </c>
      <c r="H37" s="200" t="str">
        <f>IF(Inputs!H42="","",Inputs!H42)</f>
        <v/>
      </c>
      <c r="I37" s="200" t="str">
        <f>IF(Inputs!I42="","",Inputs!I42)</f>
        <v/>
      </c>
      <c r="J37" s="200" t="str">
        <f>IF(Inputs!J42="","",Inputs!J42)</f>
        <v/>
      </c>
      <c r="K37" s="200" t="str">
        <f>IF(Inputs!K42="","",Inputs!K42)</f>
        <v/>
      </c>
      <c r="L37" s="200" t="str">
        <f>IF(Inputs!L42="","",Inputs!L42)</f>
        <v/>
      </c>
      <c r="M37" s="200" t="str">
        <f>IF(Inputs!M42="","",Inputs!M42)</f>
        <v/>
      </c>
      <c r="N37" s="87"/>
    </row>
    <row r="38" spans="1:14" ht="15.75" customHeight="1" x14ac:dyDescent="0.4">
      <c r="A38" s="4"/>
      <c r="B38" s="94" t="s">
        <v>137</v>
      </c>
      <c r="C38" s="65">
        <f>Fin_Analysis!C63</f>
        <v>0</v>
      </c>
      <c r="D38" s="200" t="str">
        <f>IF(Inputs!D43="","",Inputs!D43)</f>
        <v/>
      </c>
      <c r="E38" s="200" t="str">
        <f>IF(Inputs!E43="","",Inputs!E43)</f>
        <v/>
      </c>
      <c r="F38" s="200" t="str">
        <f>IF(Inputs!F43="","",Inputs!F43)</f>
        <v/>
      </c>
      <c r="G38" s="200" t="str">
        <f>IF(Inputs!G43="","",Inputs!G43)</f>
        <v/>
      </c>
      <c r="H38" s="200" t="str">
        <f>IF(Inputs!H43="","",Inputs!H43)</f>
        <v/>
      </c>
      <c r="I38" s="200" t="str">
        <f>IF(Inputs!I43="","",Inputs!I43)</f>
        <v/>
      </c>
      <c r="J38" s="200" t="str">
        <f>IF(Inputs!J43="","",Inputs!J43)</f>
        <v/>
      </c>
      <c r="K38" s="200" t="str">
        <f>IF(Inputs!K43="","",Inputs!K43)</f>
        <v/>
      </c>
      <c r="L38" s="200" t="str">
        <f>IF(Inputs!L43="","",Inputs!L43)</f>
        <v/>
      </c>
      <c r="M38" s="200" t="str">
        <f>IF(Inputs!M43="","",Inputs!M43)</f>
        <v/>
      </c>
      <c r="N38" s="87"/>
    </row>
    <row r="39" spans="1:14" ht="15.75" customHeight="1" x14ac:dyDescent="0.4">
      <c r="A39" s="4"/>
      <c r="B39" s="94" t="s">
        <v>141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158</v>
      </c>
      <c r="C40" s="156" t="e">
        <f>IF(C6="","",C14/MAX(C39,0))</f>
        <v>#DIV/0!</v>
      </c>
      <c r="D40" s="156" t="e">
        <f>IF(D6="","",D14/MAX(D39,0))</f>
        <v>#DIV/0!</v>
      </c>
      <c r="E40" s="156" t="str">
        <f>IF(E6="","",E14/MAX(E39,0))</f>
        <v/>
      </c>
      <c r="F40" s="156" t="str">
        <f t="shared" ref="F40:M40" si="33">IF(F39="","",F14/F39)</f>
        <v/>
      </c>
      <c r="G40" s="156" t="str">
        <f t="shared" si="33"/>
        <v/>
      </c>
      <c r="H40" s="156" t="str">
        <f t="shared" si="33"/>
        <v/>
      </c>
      <c r="I40" s="156" t="str">
        <f t="shared" si="33"/>
        <v/>
      </c>
      <c r="J40" s="156" t="str">
        <f t="shared" si="33"/>
        <v/>
      </c>
      <c r="K40" s="156" t="str">
        <f t="shared" si="33"/>
        <v/>
      </c>
      <c r="L40" s="156" t="str">
        <f t="shared" si="33"/>
        <v/>
      </c>
      <c r="M40" s="156" t="str">
        <f t="shared" si="33"/>
        <v/>
      </c>
      <c r="N40" s="87"/>
    </row>
    <row r="41" spans="1:14" ht="15.75" customHeight="1" x14ac:dyDescent="0.4">
      <c r="A41" s="16"/>
      <c r="B41" s="55" t="s">
        <v>252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98</v>
      </c>
      <c r="C42" s="157">
        <f t="shared" ref="C42:M42" si="34">IF(C6="","",C8/C6)</f>
        <v>0.46570281556597115</v>
      </c>
      <c r="D42" s="157">
        <f t="shared" si="34"/>
        <v>0.49445813144625883</v>
      </c>
      <c r="E42" s="157" t="str">
        <f t="shared" si="34"/>
        <v/>
      </c>
      <c r="F42" s="157" t="str">
        <f t="shared" si="34"/>
        <v/>
      </c>
      <c r="G42" s="157" t="str">
        <f t="shared" si="34"/>
        <v/>
      </c>
      <c r="H42" s="157" t="str">
        <f t="shared" si="34"/>
        <v/>
      </c>
      <c r="I42" s="157" t="str">
        <f t="shared" si="34"/>
        <v/>
      </c>
      <c r="J42" s="157" t="str">
        <f t="shared" si="34"/>
        <v/>
      </c>
      <c r="K42" s="157" t="str">
        <f t="shared" si="34"/>
        <v/>
      </c>
      <c r="L42" s="157" t="str">
        <f t="shared" si="34"/>
        <v/>
      </c>
      <c r="M42" s="157" t="str">
        <f t="shared" si="34"/>
        <v/>
      </c>
      <c r="N42" s="87"/>
    </row>
    <row r="43" spans="1:14" ht="15.75" customHeight="1" x14ac:dyDescent="0.4">
      <c r="A43" s="4"/>
      <c r="B43" s="94" t="s">
        <v>235</v>
      </c>
      <c r="C43" s="154">
        <f t="shared" ref="C43:M43" si="35">IF(C6="","",(C10+MAX(C11,0))/C6)</f>
        <v>0.49096154234108225</v>
      </c>
      <c r="D43" s="154">
        <f t="shared" si="35"/>
        <v>0.45503751544914633</v>
      </c>
      <c r="E43" s="154" t="str">
        <f t="shared" si="35"/>
        <v/>
      </c>
      <c r="F43" s="154" t="str">
        <f t="shared" si="35"/>
        <v/>
      </c>
      <c r="G43" s="154" t="str">
        <f t="shared" si="35"/>
        <v/>
      </c>
      <c r="H43" s="154" t="str">
        <f t="shared" si="35"/>
        <v/>
      </c>
      <c r="I43" s="154" t="str">
        <f t="shared" si="35"/>
        <v/>
      </c>
      <c r="J43" s="154" t="str">
        <f t="shared" si="35"/>
        <v/>
      </c>
      <c r="K43" s="154" t="str">
        <f t="shared" si="35"/>
        <v/>
      </c>
      <c r="L43" s="154" t="str">
        <f t="shared" si="35"/>
        <v/>
      </c>
      <c r="M43" s="154" t="str">
        <f t="shared" si="35"/>
        <v/>
      </c>
      <c r="N43" s="87"/>
    </row>
    <row r="44" spans="1:14" ht="15.75" customHeight="1" x14ac:dyDescent="0.4">
      <c r="A44" s="4"/>
      <c r="B44" s="94" t="s">
        <v>109</v>
      </c>
      <c r="C44" s="154">
        <f t="shared" ref="C44:M44" si="36">IF(C6="","",MAX(C16,0)/C6)</f>
        <v>3.9525516276755275E-2</v>
      </c>
      <c r="D44" s="154">
        <f t="shared" si="36"/>
        <v>2.6215013835872644E-2</v>
      </c>
      <c r="E44" s="154" t="str">
        <f t="shared" si="36"/>
        <v/>
      </c>
      <c r="F44" s="154" t="str">
        <f t="shared" si="36"/>
        <v/>
      </c>
      <c r="G44" s="154" t="str">
        <f t="shared" si="36"/>
        <v/>
      </c>
      <c r="H44" s="154" t="str">
        <f t="shared" si="36"/>
        <v/>
      </c>
      <c r="I44" s="154" t="str">
        <f t="shared" si="36"/>
        <v/>
      </c>
      <c r="J44" s="154" t="str">
        <f t="shared" si="36"/>
        <v/>
      </c>
      <c r="K44" s="154" t="str">
        <f t="shared" si="36"/>
        <v/>
      </c>
      <c r="L44" s="154" t="str">
        <f t="shared" si="36"/>
        <v/>
      </c>
      <c r="M44" s="154" t="str">
        <f t="shared" si="36"/>
        <v/>
      </c>
      <c r="N44" s="87"/>
    </row>
    <row r="45" spans="1:14" ht="15.75" customHeight="1" x14ac:dyDescent="0.4">
      <c r="A45" s="4"/>
      <c r="B45" s="94" t="s">
        <v>122</v>
      </c>
      <c r="C45" s="154">
        <f t="shared" ref="C45:M45" si="37">IF(C6="","",MAX(C17,0)/C6)</f>
        <v>0</v>
      </c>
      <c r="D45" s="154">
        <f t="shared" si="37"/>
        <v>0</v>
      </c>
      <c r="E45" s="154" t="str">
        <f t="shared" si="37"/>
        <v/>
      </c>
      <c r="F45" s="154" t="str">
        <f t="shared" si="37"/>
        <v/>
      </c>
      <c r="G45" s="154" t="str">
        <f t="shared" si="37"/>
        <v/>
      </c>
      <c r="H45" s="154" t="str">
        <f t="shared" si="37"/>
        <v/>
      </c>
      <c r="I45" s="154" t="str">
        <f t="shared" si="37"/>
        <v/>
      </c>
      <c r="J45" s="154" t="str">
        <f t="shared" si="37"/>
        <v/>
      </c>
      <c r="K45" s="154" t="str">
        <f t="shared" si="37"/>
        <v/>
      </c>
      <c r="L45" s="154" t="str">
        <f t="shared" si="37"/>
        <v/>
      </c>
      <c r="M45" s="154" t="str">
        <f t="shared" si="37"/>
        <v/>
      </c>
      <c r="N45" s="87"/>
    </row>
    <row r="46" spans="1:14" ht="15.75" customHeight="1" x14ac:dyDescent="0.4">
      <c r="A46" s="4"/>
      <c r="B46" s="94" t="s">
        <v>130</v>
      </c>
      <c r="C46" s="154">
        <f>IF(C6="","",MAX(C12,0)/C6)</f>
        <v>0</v>
      </c>
      <c r="D46" s="154">
        <f t="shared" ref="D46:M46" si="38">IF(D6="","",MAX(D12,0)/D6)</f>
        <v>0</v>
      </c>
      <c r="E46" s="154" t="str">
        <f t="shared" si="38"/>
        <v/>
      </c>
      <c r="F46" s="154" t="str">
        <f t="shared" si="38"/>
        <v/>
      </c>
      <c r="G46" s="154" t="str">
        <f t="shared" si="38"/>
        <v/>
      </c>
      <c r="H46" s="154" t="str">
        <f t="shared" si="38"/>
        <v/>
      </c>
      <c r="I46" s="154" t="str">
        <f t="shared" si="38"/>
        <v/>
      </c>
      <c r="J46" s="154" t="str">
        <f t="shared" si="38"/>
        <v/>
      </c>
      <c r="K46" s="154" t="str">
        <f t="shared" si="38"/>
        <v/>
      </c>
      <c r="L46" s="154" t="str">
        <f t="shared" si="38"/>
        <v/>
      </c>
      <c r="M46" s="154" t="str">
        <f t="shared" si="38"/>
        <v/>
      </c>
      <c r="N46" s="87"/>
    </row>
    <row r="47" spans="1:14" ht="15.75" customHeight="1" x14ac:dyDescent="0.4">
      <c r="A47" s="4"/>
      <c r="B47" s="94" t="s">
        <v>237</v>
      </c>
      <c r="C47" s="154">
        <f>IF(C6="","",ABS(MAX(C21,0)-MAX(C19,0))/C6)</f>
        <v>0.11560295610891069</v>
      </c>
      <c r="D47" s="154">
        <f t="shared" ref="D47:M47" si="39">IF(D6="","",ABS(MAX(D21,0)-MAX(D19,0))/D6)</f>
        <v>8.8749193363156106E-2</v>
      </c>
      <c r="E47" s="154" t="str">
        <f t="shared" si="39"/>
        <v/>
      </c>
      <c r="F47" s="154" t="str">
        <f t="shared" si="39"/>
        <v/>
      </c>
      <c r="G47" s="154" t="str">
        <f t="shared" si="39"/>
        <v/>
      </c>
      <c r="H47" s="154" t="str">
        <f t="shared" si="39"/>
        <v/>
      </c>
      <c r="I47" s="154" t="str">
        <f t="shared" si="39"/>
        <v/>
      </c>
      <c r="J47" s="154" t="str">
        <f t="shared" si="39"/>
        <v/>
      </c>
      <c r="K47" s="154" t="str">
        <f t="shared" si="39"/>
        <v/>
      </c>
      <c r="L47" s="154" t="str">
        <f t="shared" si="39"/>
        <v/>
      </c>
      <c r="M47" s="154" t="str">
        <f t="shared" si="39"/>
        <v/>
      </c>
      <c r="N47" s="87"/>
    </row>
    <row r="48" spans="1:14" ht="15.75" customHeight="1" x14ac:dyDescent="0.4">
      <c r="A48" s="4"/>
      <c r="B48" s="94" t="s">
        <v>124</v>
      </c>
      <c r="C48" s="154">
        <f t="shared" ref="C48:M48" si="40">IF(C6="","",C22/C6)</f>
        <v>-0.11179283029271934</v>
      </c>
      <c r="D48" s="154">
        <f t="shared" si="40"/>
        <v>-6.445985409443393E-2</v>
      </c>
      <c r="E48" s="154" t="str">
        <f t="shared" si="40"/>
        <v/>
      </c>
      <c r="F48" s="154" t="str">
        <f t="shared" si="40"/>
        <v/>
      </c>
      <c r="G48" s="154" t="str">
        <f t="shared" si="40"/>
        <v/>
      </c>
      <c r="H48" s="154" t="str">
        <f t="shared" si="40"/>
        <v/>
      </c>
      <c r="I48" s="154" t="str">
        <f t="shared" si="40"/>
        <v/>
      </c>
      <c r="J48" s="154" t="str">
        <f t="shared" si="40"/>
        <v/>
      </c>
      <c r="K48" s="154" t="str">
        <f t="shared" si="40"/>
        <v/>
      </c>
      <c r="L48" s="154" t="str">
        <f t="shared" si="40"/>
        <v/>
      </c>
      <c r="M48" s="154" t="str">
        <f t="shared" si="40"/>
        <v/>
      </c>
      <c r="N48" s="87"/>
    </row>
    <row r="49" spans="1:14" ht="15.75" customHeight="1" x14ac:dyDescent="0.4">
      <c r="A49" s="16"/>
      <c r="B49" s="102" t="s">
        <v>150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147</v>
      </c>
      <c r="C50" s="157">
        <f t="shared" ref="C50:M50" si="41">IF(C29="","",C29/C6)</f>
        <v>0</v>
      </c>
      <c r="D50" s="157" t="str">
        <f t="shared" si="41"/>
        <v/>
      </c>
      <c r="E50" s="157" t="str">
        <f t="shared" si="41"/>
        <v/>
      </c>
      <c r="F50" s="157" t="str">
        <f t="shared" si="41"/>
        <v/>
      </c>
      <c r="G50" s="157" t="str">
        <f t="shared" si="41"/>
        <v/>
      </c>
      <c r="H50" s="157" t="str">
        <f t="shared" si="41"/>
        <v/>
      </c>
      <c r="I50" s="157" t="str">
        <f t="shared" si="41"/>
        <v/>
      </c>
      <c r="J50" s="157" t="str">
        <f t="shared" si="41"/>
        <v/>
      </c>
      <c r="K50" s="157" t="str">
        <f t="shared" si="41"/>
        <v/>
      </c>
      <c r="L50" s="157" t="str">
        <f t="shared" si="41"/>
        <v/>
      </c>
      <c r="M50" s="157" t="str">
        <f t="shared" si="41"/>
        <v/>
      </c>
      <c r="N50" s="87"/>
    </row>
    <row r="51" spans="1:14" ht="15.75" customHeight="1" x14ac:dyDescent="0.4">
      <c r="A51" s="4"/>
      <c r="B51" s="94" t="s">
        <v>148</v>
      </c>
      <c r="C51" s="154">
        <f t="shared" ref="C51:M51" si="42">IF(C30="","",C30/C6)</f>
        <v>0</v>
      </c>
      <c r="D51" s="154" t="str">
        <f t="shared" si="42"/>
        <v/>
      </c>
      <c r="E51" s="154" t="str">
        <f t="shared" si="42"/>
        <v/>
      </c>
      <c r="F51" s="154" t="str">
        <f t="shared" si="42"/>
        <v/>
      </c>
      <c r="G51" s="154" t="str">
        <f t="shared" si="42"/>
        <v/>
      </c>
      <c r="H51" s="154" t="str">
        <f t="shared" si="42"/>
        <v/>
      </c>
      <c r="I51" s="154" t="str">
        <f t="shared" si="42"/>
        <v/>
      </c>
      <c r="J51" s="154" t="str">
        <f t="shared" si="42"/>
        <v/>
      </c>
      <c r="K51" s="154" t="str">
        <f t="shared" si="42"/>
        <v/>
      </c>
      <c r="L51" s="154" t="str">
        <f t="shared" si="42"/>
        <v/>
      </c>
      <c r="M51" s="154" t="str">
        <f t="shared" si="42"/>
        <v/>
      </c>
      <c r="N51" s="87"/>
    </row>
    <row r="52" spans="1:14" ht="15.75" customHeight="1" x14ac:dyDescent="0.4">
      <c r="A52" s="16"/>
      <c r="B52" s="102" t="s">
        <v>125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20</v>
      </c>
      <c r="C53" s="157" t="e">
        <f>IF(C36="","",(C27-C36)/C27)</f>
        <v>#DIV/0!</v>
      </c>
      <c r="D53" s="157" t="str">
        <f t="shared" ref="D53:M53" si="43">IF(D36="","",(D27-D36)/D27)</f>
        <v/>
      </c>
      <c r="E53" s="157" t="str">
        <f t="shared" si="43"/>
        <v/>
      </c>
      <c r="F53" s="157" t="str">
        <f t="shared" si="43"/>
        <v/>
      </c>
      <c r="G53" s="157" t="str">
        <f t="shared" si="43"/>
        <v/>
      </c>
      <c r="H53" s="157" t="str">
        <f t="shared" si="43"/>
        <v/>
      </c>
      <c r="I53" s="157" t="str">
        <f t="shared" si="43"/>
        <v/>
      </c>
      <c r="J53" s="157" t="str">
        <f t="shared" si="43"/>
        <v/>
      </c>
      <c r="K53" s="157" t="str">
        <f t="shared" si="43"/>
        <v/>
      </c>
      <c r="L53" s="157" t="str">
        <f t="shared" si="43"/>
        <v/>
      </c>
      <c r="M53" s="157" t="str">
        <f t="shared" si="43"/>
        <v/>
      </c>
    </row>
    <row r="54" spans="1:14" ht="15.75" customHeight="1" x14ac:dyDescent="0.4">
      <c r="A54" s="4"/>
      <c r="B54" s="94" t="s">
        <v>121</v>
      </c>
      <c r="C54" s="158" t="str">
        <f t="shared" ref="C54:M54" si="44">IF(OR(C22="",C35=""),"",IF(C35&lt;=0,"-",C22/C35))</f>
        <v>-</v>
      </c>
      <c r="D54" s="158" t="str">
        <f t="shared" si="44"/>
        <v/>
      </c>
      <c r="E54" s="158" t="str">
        <f t="shared" si="44"/>
        <v/>
      </c>
      <c r="F54" s="158" t="str">
        <f t="shared" si="44"/>
        <v/>
      </c>
      <c r="G54" s="158" t="str">
        <f t="shared" si="44"/>
        <v/>
      </c>
      <c r="H54" s="158" t="str">
        <f t="shared" si="44"/>
        <v/>
      </c>
      <c r="I54" s="158" t="str">
        <f t="shared" si="44"/>
        <v/>
      </c>
      <c r="J54" s="158" t="str">
        <f t="shared" si="44"/>
        <v/>
      </c>
      <c r="K54" s="158" t="str">
        <f t="shared" si="44"/>
        <v/>
      </c>
      <c r="L54" s="158" t="str">
        <f t="shared" si="44"/>
        <v/>
      </c>
      <c r="M54" s="158" t="str">
        <f t="shared" si="44"/>
        <v/>
      </c>
    </row>
    <row r="55" spans="1:14" ht="15.75" customHeight="1" x14ac:dyDescent="0.4">
      <c r="A55" s="4"/>
      <c r="B55" s="94" t="s">
        <v>123</v>
      </c>
      <c r="C55" s="154" t="str">
        <f t="shared" ref="C55:M55" si="45">IF(C22="","",IF(MAX(C17,0)&lt;=0,"-",C17/C22))</f>
        <v>-</v>
      </c>
      <c r="D55" s="154" t="str">
        <f t="shared" si="45"/>
        <v>-</v>
      </c>
      <c r="E55" s="154" t="str">
        <f t="shared" si="45"/>
        <v/>
      </c>
      <c r="F55" s="154" t="str">
        <f t="shared" si="45"/>
        <v/>
      </c>
      <c r="G55" s="154" t="str">
        <f t="shared" si="45"/>
        <v/>
      </c>
      <c r="H55" s="154" t="str">
        <f t="shared" si="45"/>
        <v/>
      </c>
      <c r="I55" s="154" t="str">
        <f t="shared" si="45"/>
        <v/>
      </c>
      <c r="J55" s="154" t="str">
        <f t="shared" si="45"/>
        <v/>
      </c>
      <c r="K55" s="154" t="str">
        <f t="shared" si="45"/>
        <v/>
      </c>
      <c r="L55" s="154" t="str">
        <f t="shared" si="45"/>
        <v/>
      </c>
      <c r="M55" s="154" t="str">
        <f t="shared" si="45"/>
        <v/>
      </c>
    </row>
    <row r="56" spans="1:14" ht="15.75" customHeight="1" x14ac:dyDescent="0.4">
      <c r="A56" s="4"/>
      <c r="B56" s="98" t="s">
        <v>21</v>
      </c>
      <c r="C56" s="159" t="e">
        <f t="shared" ref="C56:M56" si="46">IF(C28="","",C28/C31)</f>
        <v>#DIV/0!</v>
      </c>
      <c r="D56" s="159" t="str">
        <f t="shared" si="46"/>
        <v/>
      </c>
      <c r="E56" s="159" t="str">
        <f t="shared" si="46"/>
        <v/>
      </c>
      <c r="F56" s="159" t="str">
        <f t="shared" si="46"/>
        <v/>
      </c>
      <c r="G56" s="159" t="str">
        <f t="shared" si="46"/>
        <v/>
      </c>
      <c r="H56" s="159" t="str">
        <f t="shared" si="46"/>
        <v/>
      </c>
      <c r="I56" s="159" t="str">
        <f t="shared" si="46"/>
        <v/>
      </c>
      <c r="J56" s="159" t="str">
        <f t="shared" si="46"/>
        <v/>
      </c>
      <c r="K56" s="159" t="str">
        <f t="shared" si="46"/>
        <v/>
      </c>
      <c r="L56" s="159" t="str">
        <f t="shared" si="46"/>
        <v/>
      </c>
      <c r="M56" s="159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H103" sqref="H10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23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24</v>
      </c>
      <c r="I3" s="205">
        <f>Inputs!C83</f>
        <v>0</v>
      </c>
      <c r="K3" s="24"/>
    </row>
    <row r="4" spans="1:11" ht="15" customHeight="1" x14ac:dyDescent="0.4">
      <c r="B4" s="3" t="s">
        <v>25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26</v>
      </c>
      <c r="H5" s="1" t="s">
        <v>28</v>
      </c>
      <c r="I5" s="63" t="e">
        <f>C28/I28</f>
        <v>#DIV/0!</v>
      </c>
      <c r="K5" s="24"/>
    </row>
    <row r="6" spans="1:11" ht="15" customHeight="1" thickBot="1" x14ac:dyDescent="0.45">
      <c r="B6" s="20" t="s">
        <v>27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30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29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31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32</v>
      </c>
      <c r="C9" s="86"/>
      <c r="D9" s="204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33</v>
      </c>
      <c r="C10" s="74" t="s">
        <v>34</v>
      </c>
      <c r="D10" s="74" t="s">
        <v>197</v>
      </c>
      <c r="E10" s="74" t="s">
        <v>35</v>
      </c>
      <c r="F10" s="111" t="s">
        <v>36</v>
      </c>
      <c r="G10" s="87"/>
      <c r="H10" s="22" t="s">
        <v>37</v>
      </c>
      <c r="I10" s="74" t="s">
        <v>34</v>
      </c>
      <c r="K10" s="24"/>
    </row>
    <row r="11" spans="1:11" ht="15" customHeight="1" x14ac:dyDescent="0.4">
      <c r="B11" s="3" t="s">
        <v>38</v>
      </c>
      <c r="C11" s="40">
        <f>Inputs!C48</f>
        <v>0</v>
      </c>
      <c r="D11" s="199">
        <f>Inputs!D48</f>
        <v>0.9</v>
      </c>
      <c r="E11" s="88">
        <f t="shared" ref="E11:E22" si="0">C11*D11</f>
        <v>0</v>
      </c>
      <c r="F11" s="112"/>
      <c r="G11" s="87"/>
      <c r="H11" s="3" t="s">
        <v>39</v>
      </c>
      <c r="I11" s="40">
        <f>Inputs!C73</f>
        <v>0</v>
      </c>
      <c r="J11" s="87"/>
      <c r="K11" s="24"/>
    </row>
    <row r="12" spans="1:11" ht="13.9" x14ac:dyDescent="0.4">
      <c r="B12" s="1" t="s">
        <v>136</v>
      </c>
      <c r="C12" s="40">
        <f>Inputs!C49</f>
        <v>0</v>
      </c>
      <c r="D12" s="199">
        <f>Inputs!D49</f>
        <v>0.8</v>
      </c>
      <c r="E12" s="88">
        <f t="shared" si="0"/>
        <v>0</v>
      </c>
      <c r="F12" s="112"/>
      <c r="G12" s="87"/>
      <c r="H12" s="3" t="s">
        <v>40</v>
      </c>
      <c r="I12" s="40">
        <f>Inputs!C74</f>
        <v>0</v>
      </c>
      <c r="J12" s="87"/>
      <c r="K12" s="24"/>
    </row>
    <row r="13" spans="1:11" ht="13.9" x14ac:dyDescent="0.4">
      <c r="B13" s="3" t="s">
        <v>117</v>
      </c>
      <c r="C13" s="40">
        <f>Inputs!C50</f>
        <v>0</v>
      </c>
      <c r="D13" s="199">
        <f>Inputs!D50</f>
        <v>0.6</v>
      </c>
      <c r="E13" s="88">
        <f t="shared" si="0"/>
        <v>0</v>
      </c>
      <c r="F13" s="112"/>
      <c r="G13" s="87"/>
      <c r="H13" s="3" t="s">
        <v>41</v>
      </c>
      <c r="I13" s="40">
        <f>Inputs!C75</f>
        <v>0</v>
      </c>
      <c r="J13" s="87"/>
      <c r="K13" s="26"/>
    </row>
    <row r="14" spans="1:11" ht="13.9" x14ac:dyDescent="0.4">
      <c r="B14" s="3" t="s">
        <v>42</v>
      </c>
      <c r="C14" s="40">
        <f>Inputs!C51</f>
        <v>0</v>
      </c>
      <c r="D14" s="199">
        <f>Inputs!D51</f>
        <v>0.6</v>
      </c>
      <c r="E14" s="88">
        <f t="shared" si="0"/>
        <v>0</v>
      </c>
      <c r="F14" s="112"/>
      <c r="G14" s="87"/>
      <c r="H14" s="86" t="s">
        <v>43</v>
      </c>
      <c r="I14" s="206">
        <f>Inputs!C76</f>
        <v>0</v>
      </c>
      <c r="J14" s="87"/>
      <c r="K14" s="27"/>
    </row>
    <row r="15" spans="1:11" ht="13.9" x14ac:dyDescent="0.4">
      <c r="B15" s="3" t="s">
        <v>44</v>
      </c>
      <c r="C15" s="40">
        <f>Inputs!C52</f>
        <v>0</v>
      </c>
      <c r="D15" s="199">
        <f>Inputs!D52</f>
        <v>0.5</v>
      </c>
      <c r="E15" s="88">
        <f t="shared" si="0"/>
        <v>0</v>
      </c>
      <c r="F15" s="112"/>
      <c r="G15" s="87"/>
      <c r="H15" s="1" t="s">
        <v>54</v>
      </c>
      <c r="I15" s="84">
        <f>SUM(I11:I14)</f>
        <v>0</v>
      </c>
      <c r="J15" s="87"/>
    </row>
    <row r="16" spans="1:11" ht="13.9" x14ac:dyDescent="0.4">
      <c r="B16" s="1" t="s">
        <v>159</v>
      </c>
      <c r="C16" s="40">
        <f>Inputs!C53</f>
        <v>0</v>
      </c>
      <c r="D16" s="199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118</v>
      </c>
      <c r="C17" s="40">
        <f>Inputs!C54</f>
        <v>0</v>
      </c>
      <c r="D17" s="199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47</v>
      </c>
      <c r="C18" s="40">
        <f>Inputs!C55</f>
        <v>0</v>
      </c>
      <c r="D18" s="199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48</v>
      </c>
      <c r="C19" s="40">
        <f>Inputs!C56</f>
        <v>0</v>
      </c>
      <c r="D19" s="199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120</v>
      </c>
      <c r="C20" s="40">
        <f>Inputs!C57</f>
        <v>0</v>
      </c>
      <c r="D20" s="199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40">
        <f>Inputs!C58</f>
        <v>0</v>
      </c>
      <c r="D21" s="199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51</v>
      </c>
      <c r="C22" s="40">
        <f>Inputs!C59</f>
        <v>0</v>
      </c>
      <c r="D22" s="199">
        <f>Inputs!D59</f>
        <v>0.05</v>
      </c>
      <c r="E22" s="88">
        <f t="shared" si="0"/>
        <v>0</v>
      </c>
      <c r="F22" s="112"/>
      <c r="G22" s="87"/>
      <c r="H22" s="3" t="s">
        <v>45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52</v>
      </c>
      <c r="G23" s="87"/>
    </row>
    <row r="24" spans="2:10" ht="15" customHeight="1" x14ac:dyDescent="0.4">
      <c r="B24" s="23" t="s">
        <v>53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55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56</v>
      </c>
      <c r="I25" s="63" t="e">
        <f>E28/I28</f>
        <v>#DIV/0!</v>
      </c>
    </row>
    <row r="26" spans="2:10" ht="15" customHeight="1" x14ac:dyDescent="0.4">
      <c r="B26" s="23" t="s">
        <v>57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58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59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60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15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16</v>
      </c>
      <c r="I28" s="207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36</v>
      </c>
      <c r="G29" s="87"/>
      <c r="H29" s="87"/>
      <c r="I29" s="87"/>
      <c r="J29" s="87"/>
    </row>
    <row r="30" spans="2:10" ht="15" customHeight="1" x14ac:dyDescent="0.4">
      <c r="B30" s="3" t="s">
        <v>61</v>
      </c>
      <c r="C30" s="40">
        <f>Inputs!C60</f>
        <v>0</v>
      </c>
      <c r="D30" s="199">
        <f>Inputs!D60</f>
        <v>0.8</v>
      </c>
      <c r="E30" s="88">
        <v>0</v>
      </c>
      <c r="F30" s="112"/>
      <c r="G30" s="87"/>
      <c r="H30" s="3" t="s">
        <v>62</v>
      </c>
      <c r="I30" s="40">
        <f>Inputs!C78</f>
        <v>0</v>
      </c>
      <c r="J30" s="87"/>
    </row>
    <row r="31" spans="2:10" ht="15" customHeight="1" x14ac:dyDescent="0.4">
      <c r="B31" s="3" t="s">
        <v>63</v>
      </c>
      <c r="C31" s="40">
        <f>Inputs!C61</f>
        <v>0</v>
      </c>
      <c r="D31" s="199">
        <f>Inputs!D61</f>
        <v>0.6</v>
      </c>
      <c r="E31" s="88">
        <f t="shared" ref="E31:E42" si="1">C31*D31</f>
        <v>0</v>
      </c>
      <c r="F31" s="112"/>
      <c r="G31" s="87"/>
      <c r="H31" s="3" t="s">
        <v>64</v>
      </c>
      <c r="I31" s="40">
        <f>Inputs!C79</f>
        <v>0</v>
      </c>
      <c r="J31" s="87"/>
    </row>
    <row r="32" spans="2:10" ht="15" customHeight="1" x14ac:dyDescent="0.4">
      <c r="B32" s="3" t="s">
        <v>65</v>
      </c>
      <c r="C32" s="40">
        <f>Inputs!C62</f>
        <v>0</v>
      </c>
      <c r="D32" s="199">
        <f>Inputs!D62</f>
        <v>0.5</v>
      </c>
      <c r="E32" s="88">
        <f t="shared" si="1"/>
        <v>0</v>
      </c>
      <c r="F32" s="112"/>
      <c r="G32" s="87"/>
      <c r="H32" s="3" t="s">
        <v>66</v>
      </c>
      <c r="I32" s="40">
        <f>Inputs!C80</f>
        <v>0</v>
      </c>
      <c r="J32" s="87"/>
    </row>
    <row r="33" spans="2:10" ht="13.9" x14ac:dyDescent="0.4">
      <c r="B33" s="1" t="s">
        <v>160</v>
      </c>
      <c r="C33" s="40">
        <f>Inputs!C63</f>
        <v>0</v>
      </c>
      <c r="D33" s="199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67</v>
      </c>
      <c r="I33" s="206">
        <f>Inputs!C81</f>
        <v>0</v>
      </c>
      <c r="J33" s="87"/>
    </row>
    <row r="34" spans="2:10" ht="13.9" x14ac:dyDescent="0.4">
      <c r="B34" s="3" t="s">
        <v>68</v>
      </c>
      <c r="C34" s="40">
        <f>Inputs!C64</f>
        <v>0</v>
      </c>
      <c r="D34" s="199">
        <f>Inputs!D64</f>
        <v>0.4</v>
      </c>
      <c r="E34" s="88">
        <f t="shared" si="1"/>
        <v>0</v>
      </c>
      <c r="F34" s="112"/>
      <c r="G34" s="87"/>
      <c r="H34" s="1" t="s">
        <v>78</v>
      </c>
      <c r="I34" s="84">
        <f>SUM(I30:I33)</f>
        <v>0</v>
      </c>
      <c r="J34" s="87"/>
    </row>
    <row r="35" spans="2:10" ht="13.9" x14ac:dyDescent="0.4">
      <c r="B35" s="3" t="s">
        <v>70</v>
      </c>
      <c r="C35" s="40">
        <f>Inputs!C65</f>
        <v>0</v>
      </c>
      <c r="D35" s="199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72</v>
      </c>
      <c r="C36" s="40">
        <f>Inputs!C66</f>
        <v>0</v>
      </c>
      <c r="D36" s="199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49</v>
      </c>
      <c r="C37" s="40">
        <f>Inputs!C67</f>
        <v>0</v>
      </c>
      <c r="D37" s="199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119</v>
      </c>
      <c r="C38" s="40">
        <f>Inputs!C68</f>
        <v>0</v>
      </c>
      <c r="D38" s="199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73</v>
      </c>
      <c r="C39" s="40">
        <f>Inputs!C69</f>
        <v>0</v>
      </c>
      <c r="D39" s="199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74</v>
      </c>
      <c r="C40" s="40">
        <f>Inputs!C70</f>
        <v>0</v>
      </c>
      <c r="D40" s="199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75</v>
      </c>
      <c r="C41" s="40">
        <f>Inputs!C71</f>
        <v>0</v>
      </c>
      <c r="D41" s="199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76</v>
      </c>
      <c r="C42" s="40">
        <f>Inputs!C72</f>
        <v>0</v>
      </c>
      <c r="D42" s="199">
        <f>Inputs!D72</f>
        <v>0</v>
      </c>
      <c r="E42" s="88">
        <f t="shared" si="1"/>
        <v>0</v>
      </c>
      <c r="F42" s="112"/>
      <c r="G42" s="87"/>
      <c r="H42" s="3" t="s">
        <v>69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77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79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80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81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82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83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84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85</v>
      </c>
      <c r="I48" s="208">
        <f>Inputs!C82</f>
        <v>0</v>
      </c>
      <c r="J48" s="8"/>
    </row>
    <row r="49" spans="2:11" ht="15" customHeight="1" thickTop="1" x14ac:dyDescent="0.4">
      <c r="B49" s="3" t="s">
        <v>14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86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87</v>
      </c>
      <c r="C51" s="31"/>
      <c r="D51" s="18"/>
    </row>
    <row r="52" spans="2:11" ht="13.9" x14ac:dyDescent="0.4">
      <c r="B52" s="44" t="s">
        <v>88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89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151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90</v>
      </c>
      <c r="C56" s="87"/>
      <c r="D56" s="283">
        <f>I15+I34</f>
        <v>0</v>
      </c>
      <c r="E56" s="281"/>
      <c r="F56" s="3"/>
      <c r="G56" s="3"/>
      <c r="I56" s="56"/>
      <c r="K56" s="33"/>
    </row>
    <row r="57" spans="2:11" ht="13.9" x14ac:dyDescent="0.4">
      <c r="B57" s="20" t="s">
        <v>91</v>
      </c>
      <c r="C57" s="87"/>
      <c r="D57" s="282">
        <f>Inputs!C84</f>
        <v>0</v>
      </c>
      <c r="E57" s="281"/>
      <c r="G57" s="87"/>
      <c r="I57" s="87"/>
      <c r="K57" s="33" t="s">
        <v>92</v>
      </c>
    </row>
    <row r="58" spans="2:11" ht="12.75" customHeight="1" x14ac:dyDescent="0.4">
      <c r="B58" s="20" t="s">
        <v>93</v>
      </c>
      <c r="C58" s="87"/>
      <c r="D58" s="282">
        <f>Inputs!C85</f>
        <v>0</v>
      </c>
      <c r="E58" s="281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154</v>
      </c>
      <c r="C60" s="3"/>
      <c r="D60" s="75" t="s">
        <v>94</v>
      </c>
      <c r="E60" s="87"/>
      <c r="F60" s="9"/>
      <c r="G60" s="9"/>
      <c r="I60" s="87"/>
      <c r="K60" s="33"/>
    </row>
    <row r="61" spans="2:11" ht="15" customHeight="1" x14ac:dyDescent="0.4">
      <c r="B61" s="19" t="s">
        <v>95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140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142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152</v>
      </c>
      <c r="C64" s="209"/>
      <c r="D64" s="209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143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155</v>
      </c>
      <c r="C67" s="3"/>
      <c r="D67" s="75" t="s">
        <v>94</v>
      </c>
      <c r="E67" s="61"/>
      <c r="F67" s="87"/>
      <c r="G67" s="87"/>
      <c r="I67" s="87"/>
      <c r="K67" s="33"/>
    </row>
    <row r="68" spans="1:11" ht="13.9" x14ac:dyDescent="0.4">
      <c r="B68" s="19" t="s">
        <v>141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153</v>
      </c>
      <c r="C69" s="209"/>
      <c r="D69" s="209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144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128</v>
      </c>
      <c r="C72" s="270">
        <f>Data!C5</f>
        <v>45291</v>
      </c>
      <c r="D72" s="270"/>
      <c r="E72" s="284" t="s">
        <v>207</v>
      </c>
      <c r="F72" s="284"/>
      <c r="H72" s="284" t="s">
        <v>206</v>
      </c>
      <c r="I72" s="284"/>
      <c r="K72" s="50" t="s">
        <v>8</v>
      </c>
    </row>
    <row r="73" spans="1:11" ht="15" customHeight="1" x14ac:dyDescent="0.4">
      <c r="B73" s="12" t="str">
        <f>"(Numbers in "&amp;Data!C4&amp;Dashboard!G6&amp;")"</f>
        <v>(Numbers in 1000HKD)</v>
      </c>
      <c r="C73" s="271" t="s">
        <v>101</v>
      </c>
      <c r="D73" s="271"/>
      <c r="E73" s="285" t="s">
        <v>102</v>
      </c>
      <c r="F73" s="271"/>
      <c r="H73" s="285" t="s">
        <v>102</v>
      </c>
      <c r="I73" s="271"/>
      <c r="K73" s="24"/>
    </row>
    <row r="74" spans="1:11" ht="15" customHeight="1" x14ac:dyDescent="0.4">
      <c r="B74" s="3" t="s">
        <v>127</v>
      </c>
      <c r="C74" s="77">
        <f>Data!C6</f>
        <v>1487090</v>
      </c>
      <c r="D74" s="210"/>
      <c r="E74" s="239">
        <f>Inputs!E91</f>
        <v>1487090</v>
      </c>
      <c r="F74" s="210"/>
      <c r="H74" s="239">
        <f>Inputs!F91</f>
        <v>1487090</v>
      </c>
      <c r="I74" s="210"/>
      <c r="K74" s="24"/>
    </row>
    <row r="75" spans="1:11" ht="15" customHeight="1" x14ac:dyDescent="0.4">
      <c r="B75" s="104" t="s">
        <v>106</v>
      </c>
      <c r="C75" s="77">
        <f>Data!C8</f>
        <v>692542</v>
      </c>
      <c r="D75" s="160">
        <f>C75/$C$74</f>
        <v>0.46570281556597115</v>
      </c>
      <c r="E75" s="239">
        <f>Inputs!E92</f>
        <v>692542</v>
      </c>
      <c r="F75" s="161">
        <f>E75/E74</f>
        <v>0.46570281556597115</v>
      </c>
      <c r="H75" s="239">
        <f>Inputs!F92</f>
        <v>692542</v>
      </c>
      <c r="I75" s="161">
        <f>H75/$H$74</f>
        <v>0.46570281556597115</v>
      </c>
      <c r="K75" s="24"/>
    </row>
    <row r="76" spans="1:11" ht="15" customHeight="1" x14ac:dyDescent="0.4">
      <c r="B76" s="35" t="s">
        <v>96</v>
      </c>
      <c r="C76" s="162">
        <f>C74-C75</f>
        <v>794548</v>
      </c>
      <c r="D76" s="211"/>
      <c r="E76" s="163">
        <f>E74-E75</f>
        <v>794548</v>
      </c>
      <c r="F76" s="211"/>
      <c r="H76" s="163">
        <f>H74-H75</f>
        <v>794548</v>
      </c>
      <c r="I76" s="211"/>
      <c r="K76" s="24"/>
    </row>
    <row r="77" spans="1:11" ht="15" customHeight="1" x14ac:dyDescent="0.4">
      <c r="B77" s="104" t="s">
        <v>248</v>
      </c>
      <c r="C77" s="77">
        <f>Data!C10+MAX(Data!C11,0)</f>
        <v>730104</v>
      </c>
      <c r="D77" s="160">
        <f>C77/$C$74</f>
        <v>0.49096154234108225</v>
      </c>
      <c r="E77" s="239">
        <f>Inputs!E93</f>
        <v>730104</v>
      </c>
      <c r="F77" s="161">
        <f>E77/E74</f>
        <v>0.49096154234108225</v>
      </c>
      <c r="H77" s="239">
        <f>Inputs!F93</f>
        <v>730104</v>
      </c>
      <c r="I77" s="161">
        <f>H77/$H$74</f>
        <v>0.49096154234108225</v>
      </c>
      <c r="K77" s="24"/>
    </row>
    <row r="78" spans="1:11" ht="15" customHeight="1" x14ac:dyDescent="0.4">
      <c r="B78" s="73" t="s">
        <v>173</v>
      </c>
      <c r="C78" s="77">
        <f>MAX(Data!C12,0)</f>
        <v>0</v>
      </c>
      <c r="D78" s="160">
        <f>C78/$C$74</f>
        <v>0</v>
      </c>
      <c r="E78" s="181">
        <f>E74*F78</f>
        <v>0</v>
      </c>
      <c r="F78" s="161">
        <f>I78</f>
        <v>0</v>
      </c>
      <c r="H78" s="239">
        <f>Inputs!F97</f>
        <v>0</v>
      </c>
      <c r="I78" s="161">
        <f>H78/$H$74</f>
        <v>0</v>
      </c>
      <c r="K78" s="24"/>
    </row>
    <row r="79" spans="1:11" ht="15" customHeight="1" x14ac:dyDescent="0.4">
      <c r="B79" s="257" t="s">
        <v>233</v>
      </c>
      <c r="C79" s="258">
        <f>C76-C77-C78</f>
        <v>64444</v>
      </c>
      <c r="D79" s="259">
        <f>C79/C74</f>
        <v>4.333564209294663E-2</v>
      </c>
      <c r="E79" s="260">
        <f>E76-E77-E78</f>
        <v>64444</v>
      </c>
      <c r="F79" s="259">
        <f>E79/E74</f>
        <v>4.333564209294663E-2</v>
      </c>
      <c r="G79" s="261"/>
      <c r="H79" s="260">
        <f>H76-H77-H78</f>
        <v>64444</v>
      </c>
      <c r="I79" s="259">
        <f>H79/H74</f>
        <v>4.333564209294663E-2</v>
      </c>
      <c r="K79" s="24"/>
    </row>
    <row r="80" spans="1:11" ht="15" customHeight="1" x14ac:dyDescent="0.4">
      <c r="B80" s="28" t="s">
        <v>110</v>
      </c>
      <c r="C80" s="77">
        <f>MAX(Data!C16,0)</f>
        <v>58778</v>
      </c>
      <c r="D80" s="160">
        <f>C80/$C$74</f>
        <v>3.9525516276755275E-2</v>
      </c>
      <c r="E80" s="181">
        <f>E74*F80</f>
        <v>58778</v>
      </c>
      <c r="F80" s="161">
        <f>I80</f>
        <v>3.9525516276755275E-2</v>
      </c>
      <c r="H80" s="239">
        <f>Inputs!F96</f>
        <v>58778</v>
      </c>
      <c r="I80" s="161">
        <f>H80/$H$74</f>
        <v>3.9525516276755275E-2</v>
      </c>
      <c r="K80" s="182" t="s">
        <v>132</v>
      </c>
    </row>
    <row r="81" spans="1:11" ht="15" customHeight="1" x14ac:dyDescent="0.4">
      <c r="B81" s="104" t="s">
        <v>257</v>
      </c>
      <c r="C81" s="77">
        <f>MAX(Data!C17,0)</f>
        <v>0</v>
      </c>
      <c r="D81" s="160">
        <f>C81/$C$74</f>
        <v>0</v>
      </c>
      <c r="E81" s="181">
        <f>E74*F81</f>
        <v>0</v>
      </c>
      <c r="F81" s="161">
        <f>I81</f>
        <v>0</v>
      </c>
      <c r="H81" s="239">
        <f>Inputs!F94</f>
        <v>0</v>
      </c>
      <c r="I81" s="161">
        <f>H81/$H$74</f>
        <v>0</v>
      </c>
      <c r="K81" s="24"/>
    </row>
    <row r="82" spans="1:11" ht="15" customHeight="1" x14ac:dyDescent="0.4">
      <c r="B82" s="28" t="s">
        <v>247</v>
      </c>
      <c r="C82" s="77">
        <f>ABS(MAX(Data!C21,0)-MAX(Data!C19,0))</f>
        <v>171912</v>
      </c>
      <c r="D82" s="160">
        <f>C82/$C$74</f>
        <v>0.11560295610891069</v>
      </c>
      <c r="E82" s="239">
        <f>Inputs!E95</f>
        <v>171912</v>
      </c>
      <c r="F82" s="161">
        <f>E82/E74</f>
        <v>0.11560295610891069</v>
      </c>
      <c r="H82" s="239">
        <f>Inputs!F95</f>
        <v>171912</v>
      </c>
      <c r="I82" s="161">
        <f>H82/$H$74</f>
        <v>0.11560295610891069</v>
      </c>
      <c r="K82" s="24"/>
    </row>
    <row r="83" spans="1:11" ht="15" customHeight="1" thickBot="1" x14ac:dyDescent="0.45">
      <c r="B83" s="105" t="s">
        <v>126</v>
      </c>
      <c r="C83" s="164">
        <f>C79-C81-C82-C80</f>
        <v>-166246</v>
      </c>
      <c r="D83" s="165">
        <f>C83/$C$74</f>
        <v>-0.11179283029271934</v>
      </c>
      <c r="E83" s="166">
        <f>E79-E81-E82-E80</f>
        <v>-166246</v>
      </c>
      <c r="F83" s="165">
        <f>E83/E74</f>
        <v>-0.11179283029271934</v>
      </c>
      <c r="H83" s="166">
        <f>H79-H81-H82-H80</f>
        <v>-166246</v>
      </c>
      <c r="I83" s="165">
        <f>H83/$H$74</f>
        <v>-0.11179283029271934</v>
      </c>
      <c r="K83" s="24"/>
    </row>
    <row r="84" spans="1:11" ht="15" customHeight="1" thickTop="1" x14ac:dyDescent="0.4">
      <c r="B84" s="28" t="s">
        <v>97</v>
      </c>
      <c r="C84" s="212"/>
      <c r="D84" s="160">
        <f>I84</f>
        <v>0.16500000000000001</v>
      </c>
      <c r="E84" s="213"/>
      <c r="F84" s="180">
        <f t="shared" ref="F84" si="3">I84</f>
        <v>0.16500000000000001</v>
      </c>
      <c r="H84" s="213"/>
      <c r="I84" s="203">
        <f>Inputs!C16</f>
        <v>0.16500000000000001</v>
      </c>
      <c r="K84" s="24"/>
    </row>
    <row r="85" spans="1:11" ht="15" customHeight="1" x14ac:dyDescent="0.4">
      <c r="B85" s="264" t="s">
        <v>165</v>
      </c>
      <c r="C85" s="258">
        <f>C83*(1-I84)</f>
        <v>-138815.41</v>
      </c>
      <c r="D85" s="259">
        <f>C85/$C$74</f>
        <v>-9.3347013294420647E-2</v>
      </c>
      <c r="E85" s="265">
        <f>E83*(1-F84)</f>
        <v>-138815.41</v>
      </c>
      <c r="F85" s="259">
        <f>E85/E74</f>
        <v>-9.3347013294420647E-2</v>
      </c>
      <c r="G85" s="261"/>
      <c r="H85" s="265">
        <f>H83*(1-I84)</f>
        <v>-138815.41</v>
      </c>
      <c r="I85" s="259">
        <f>H85/$H$74</f>
        <v>-9.3347013294420647E-2</v>
      </c>
      <c r="K85" s="24"/>
    </row>
    <row r="86" spans="1:11" ht="15" customHeight="1" x14ac:dyDescent="0.4">
      <c r="B86" s="87" t="s">
        <v>161</v>
      </c>
      <c r="C86" s="168">
        <f>C85*Data!C4/Common_Shares</f>
        <v>-0.17855978791633639</v>
      </c>
      <c r="D86" s="210"/>
      <c r="E86" s="169">
        <f>E85*Data!C4/Common_Shares</f>
        <v>-0.17855978791633639</v>
      </c>
      <c r="F86" s="210"/>
      <c r="H86" s="169">
        <f>H85*Data!C4/Common_Shares</f>
        <v>-0.17855978791633639</v>
      </c>
      <c r="I86" s="210"/>
      <c r="K86" s="24"/>
    </row>
    <row r="87" spans="1:11" ht="15" customHeight="1" x14ac:dyDescent="0.4">
      <c r="B87" s="87" t="s">
        <v>209</v>
      </c>
      <c r="C87" s="262">
        <f>C86*Exchange_Rate/Dashboard!G3</f>
        <v>-0.41048227107203766</v>
      </c>
      <c r="D87" s="210"/>
      <c r="E87" s="263">
        <f>E86*Exchange_Rate/Dashboard!G3</f>
        <v>-0.41048227107203766</v>
      </c>
      <c r="F87" s="210"/>
      <c r="H87" s="263">
        <f>H86*Exchange_Rate/Dashboard!G3</f>
        <v>-0.41048227107203766</v>
      </c>
      <c r="I87" s="210"/>
      <c r="K87" s="24"/>
    </row>
    <row r="88" spans="1:11" ht="15" customHeight="1" x14ac:dyDescent="0.4">
      <c r="B88" s="86" t="s">
        <v>208</v>
      </c>
      <c r="C88" s="170">
        <f>Inputs!C44</f>
        <v>0.06</v>
      </c>
      <c r="D88" s="167">
        <f>C88/C86</f>
        <v>-0.33602190448452368</v>
      </c>
      <c r="E88" s="171">
        <f>Inputs!E98</f>
        <v>0.06</v>
      </c>
      <c r="F88" s="167">
        <f>E88/E86</f>
        <v>-0.33602190448452368</v>
      </c>
      <c r="H88" s="171">
        <f>Inputs!F98</f>
        <v>0.06</v>
      </c>
      <c r="I88" s="167">
        <f>H88/H86</f>
        <v>-0.33602190448452368</v>
      </c>
      <c r="K88" s="24"/>
    </row>
    <row r="89" spans="1:11" ht="15" customHeight="1" x14ac:dyDescent="0.4">
      <c r="B89" s="87" t="s">
        <v>222</v>
      </c>
      <c r="C89" s="262">
        <f>C88*Exchange_Rate/Dashboard!G3</f>
        <v>0.13793103448275862</v>
      </c>
      <c r="D89" s="210"/>
      <c r="E89" s="262">
        <f>E88*Exchange_Rate/Dashboard!G3</f>
        <v>0.13793103448275862</v>
      </c>
      <c r="F89" s="210"/>
      <c r="H89" s="262">
        <f>H88*Exchange_Rate/Dashboard!G3</f>
        <v>0.13793103448275862</v>
      </c>
      <c r="I89" s="210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133</v>
      </c>
    </row>
    <row r="92" spans="1:11" ht="15" customHeight="1" x14ac:dyDescent="0.4">
      <c r="B92" s="10" t="s">
        <v>156</v>
      </c>
      <c r="C92" s="199" t="str">
        <f>Inputs!C15</f>
        <v>HK</v>
      </c>
      <c r="D92" s="10" t="s">
        <v>157</v>
      </c>
      <c r="E92" s="284" t="s">
        <v>207</v>
      </c>
      <c r="F92" s="284"/>
      <c r="G92" s="87"/>
      <c r="H92" s="284" t="s">
        <v>206</v>
      </c>
      <c r="I92" s="284"/>
      <c r="K92" s="24"/>
    </row>
    <row r="93" spans="1:11" ht="15" customHeight="1" x14ac:dyDescent="0.4">
      <c r="B93" s="1" t="str">
        <f>C92&amp;" Discount Rate"</f>
        <v>HK Discount Rate</v>
      </c>
      <c r="C93" s="136">
        <f>IF(C92="CN",Dashboard!C17,IF(C92="US",Dashboard!C12,IF(C92="HK",Dashboard!D12,Dashboard!D17)))</f>
        <v>6.6000000000000003E-2</v>
      </c>
      <c r="D93" s="240">
        <f>Inputs!C86</f>
        <v>5</v>
      </c>
      <c r="E93" s="87" t="s">
        <v>210</v>
      </c>
      <c r="F93" s="144">
        <f>FV(E87,D93,0,-(E86/C93))*Exchange_Rate</f>
        <v>-0.19263006804295127</v>
      </c>
      <c r="H93" s="87" t="s">
        <v>210</v>
      </c>
      <c r="I93" s="144">
        <f>FV(H87,D93,0,-(H86/C93))*Exchange_Rate</f>
        <v>-0.19263006804295127</v>
      </c>
      <c r="K93" s="24"/>
    </row>
    <row r="94" spans="1:11" ht="15" customHeight="1" x14ac:dyDescent="0.4">
      <c r="B94" s="1" t="s">
        <v>212</v>
      </c>
      <c r="C94" s="183">
        <f>Dashboard!G20</f>
        <v>0.15</v>
      </c>
      <c r="D94" s="145"/>
      <c r="E94" s="87" t="s">
        <v>211</v>
      </c>
      <c r="F94" s="144">
        <f>FV(E89,D93,0,-(E88/C93))*Exchange_Rate</f>
        <v>1.7345508045404967</v>
      </c>
      <c r="H94" s="87" t="s">
        <v>211</v>
      </c>
      <c r="I94" s="144">
        <f>FV(H89,D93,0,-(H88/C93))*Exchange_Rate</f>
        <v>1.7345508045404967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214</v>
      </c>
      <c r="E96" s="184" t="str">
        <f>E72</f>
        <v>Pessimistic Case</v>
      </c>
      <c r="F96" s="228" t="s">
        <v>238</v>
      </c>
      <c r="H96" s="184" t="str">
        <f>H72</f>
        <v>Base Case</v>
      </c>
      <c r="I96" s="124" t="s">
        <v>115</v>
      </c>
      <c r="K96" s="24"/>
    </row>
    <row r="97" spans="2:11" ht="15" customHeight="1" x14ac:dyDescent="0.4">
      <c r="B97" s="1" t="s">
        <v>131</v>
      </c>
      <c r="C97" s="91">
        <f>H97*Common_Shares/Data!C4</f>
        <v>-74454.147443349269</v>
      </c>
      <c r="D97" s="214"/>
      <c r="E97" s="123">
        <f>PV(C94,D93,0,-F93)</f>
        <v>-9.577118834988195E-2</v>
      </c>
      <c r="F97" s="214"/>
      <c r="H97" s="123">
        <f>PV(C94,D93,0,-I93)</f>
        <v>-9.577118834988195E-2</v>
      </c>
      <c r="I97" s="123">
        <f>PV(C93,D93,0,-I93)</f>
        <v>-0.13993877072616384</v>
      </c>
      <c r="K97" s="24"/>
    </row>
    <row r="98" spans="2:11" ht="15" customHeight="1" x14ac:dyDescent="0.4">
      <c r="B98" s="28" t="s">
        <v>145</v>
      </c>
      <c r="C98" s="91">
        <f>E53*Exchange_Rate</f>
        <v>0</v>
      </c>
      <c r="D98" s="214"/>
      <c r="E98" s="214"/>
      <c r="F98" s="214"/>
      <c r="H98" s="123">
        <f>C98*Data!$C$4/Common_Shares</f>
        <v>0</v>
      </c>
      <c r="I98" s="216"/>
      <c r="K98" s="24"/>
    </row>
    <row r="99" spans="2:11" ht="15" customHeight="1" thickBot="1" x14ac:dyDescent="0.45">
      <c r="B99" s="105" t="s">
        <v>146</v>
      </c>
      <c r="C99" s="108">
        <f>(E65-IF(E70&lt;0,MIN(E65,ABS(E70)),0))*Exchange_Rate</f>
        <v>0</v>
      </c>
      <c r="D99" s="215"/>
      <c r="E99" s="146">
        <f>IF(H99&gt;0,H99*(1-C94),H99*(1+C94))</f>
        <v>0</v>
      </c>
      <c r="F99" s="215"/>
      <c r="H99" s="146">
        <f>C99*Data!$C$4/Common_Shares</f>
        <v>0</v>
      </c>
      <c r="I99" s="217"/>
      <c r="K99" s="24"/>
    </row>
    <row r="100" spans="2:11" ht="15" customHeight="1" thickTop="1" x14ac:dyDescent="0.4">
      <c r="B100" s="1" t="s">
        <v>115</v>
      </c>
      <c r="C100" s="91">
        <f>C97-C98+$C$99</f>
        <v>-74454.147443349269</v>
      </c>
      <c r="D100" s="109">
        <f>MIN(F100*(1-C94),E100)</f>
        <v>0</v>
      </c>
      <c r="E100" s="109">
        <f>MAX(E97-H98+E99,0)</f>
        <v>0</v>
      </c>
      <c r="F100" s="109">
        <f>(E100+H100)/2</f>
        <v>0</v>
      </c>
      <c r="H100" s="109">
        <f>MAX(C100*Data!$C$4/Common_Shares,0)</f>
        <v>0</v>
      </c>
      <c r="I100" s="109">
        <f>MAX(I97-H98+H99,0)</f>
        <v>0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163</v>
      </c>
      <c r="C102" s="127" t="str">
        <f>C96</f>
        <v>HKD</v>
      </c>
      <c r="D102" s="124" t="s">
        <v>214</v>
      </c>
      <c r="E102" s="184" t="str">
        <f>E96</f>
        <v>Pessimistic Case</v>
      </c>
      <c r="F102" s="228" t="s">
        <v>238</v>
      </c>
      <c r="H102" s="184" t="str">
        <f>H96</f>
        <v>Base Case</v>
      </c>
      <c r="I102" s="124" t="s">
        <v>115</v>
      </c>
      <c r="K102" s="24"/>
    </row>
    <row r="103" spans="2:11" ht="15" customHeight="1" x14ac:dyDescent="0.4">
      <c r="B103" s="1" t="s">
        <v>162</v>
      </c>
      <c r="C103" s="91">
        <f>H103*Common_Shares/Data!C4</f>
        <v>670427.53325738607</v>
      </c>
      <c r="D103" s="109">
        <f>MIN(F103*(1-C94),E103)</f>
        <v>0.73302156027889631</v>
      </c>
      <c r="E103" s="123">
        <f>PV(C94,D93,0,-F94)</f>
        <v>0.86237830621046629</v>
      </c>
      <c r="F103" s="109">
        <f>(E103+H103)/2</f>
        <v>0.86237830621046629</v>
      </c>
      <c r="H103" s="123">
        <f>PV(C94,D93,0,-I94)</f>
        <v>0.86237830621046629</v>
      </c>
      <c r="I103" s="109">
        <f>PV(C93,D93,0,-I94)</f>
        <v>1.2600883642700744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198</v>
      </c>
      <c r="C105" s="127" t="str">
        <f>C102</f>
        <v>HKD</v>
      </c>
      <c r="D105" s="124" t="s">
        <v>214</v>
      </c>
      <c r="E105" s="185" t="str">
        <f>E96</f>
        <v>Pessimistic Case</v>
      </c>
      <c r="F105" s="228" t="s">
        <v>238</v>
      </c>
      <c r="H105" s="185" t="str">
        <f>H96</f>
        <v>Base Case</v>
      </c>
      <c r="I105" s="124" t="s">
        <v>115</v>
      </c>
      <c r="K105" s="24"/>
    </row>
    <row r="106" spans="2:11" ht="15" customHeight="1" x14ac:dyDescent="0.4">
      <c r="B106" s="1" t="s">
        <v>199</v>
      </c>
      <c r="C106" s="91">
        <f>E106*Common_Shares/Data!C4</f>
        <v>335213.76662869303</v>
      </c>
      <c r="D106" s="109">
        <f>(D100+D103)/2</f>
        <v>0.36651078013944816</v>
      </c>
      <c r="E106" s="123">
        <f>(E100+E103)/2</f>
        <v>0.43118915310523315</v>
      </c>
      <c r="F106" s="109">
        <f>(F100+F103)/2</f>
        <v>0.43118915310523315</v>
      </c>
      <c r="H106" s="123">
        <f>(H100+H103)/2</f>
        <v>0.43118915310523315</v>
      </c>
      <c r="I106" s="123">
        <f>(I100+I103)/2</f>
        <v>0.63004418213503721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166</v>
      </c>
      <c r="C108" s="128" t="str">
        <f>Inputs!C87</f>
        <v>Avg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2024-12-03T08:41:51Z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