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E314CE-40D4-47EE-A5E9-1C5BA12959A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<sst xmlns="http://schemas.openxmlformats.org/spreadsheetml/2006/main" count="390" uniqueCount="267">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</sst>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21481669957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6.751194086701813E-2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207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0941.HK</v>
      </c>
      <c r="D3" s="277"/>
      <c r="E3" s="87"/>
      <c r="F3" s="3" t="s">
        <v>1</v>
      </c>
      <c r="G3" s="132">
        <v>72.25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中国移动</v>
      </c>
      <c r="D4" s="279"/>
      <c r="E4" s="87"/>
      <c r="F4" s="3" t="s">
        <v>2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1552050.6543932499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2.2215198715160572E-2</v>
      </c>
      <c r="F23" s="140" t="s">
        <v>188</v>
      </c>
      <c r="G23" s="178">
        <f>G3/(Data!C36*Data!C4/Common_Shares*Exchange_Rate)</f>
        <v>1.0457139979600658</v>
      </c>
    </row>
    <row r="24" spans="1:8" ht="15.75" customHeight="1" x14ac:dyDescent="0.4">
      <c r="B24" s="137" t="s">
        <v>170</v>
      </c>
      <c r="C24" s="172">
        <f>Fin_Analysis!I81</f>
        <v>3.6955976811858409E-3</v>
      </c>
      <c r="F24" s="140" t="s">
        <v>257</v>
      </c>
      <c r="G24" s="269">
        <f>G3/(Fin_Analysis!H86*G7)</f>
        <v>23.502022901319108</v>
      </c>
    </row>
    <row r="25" spans="1:8" ht="15.75" customHeight="1" x14ac:dyDescent="0.4">
      <c r="B25" s="137" t="s">
        <v>243</v>
      </c>
      <c r="C25" s="172">
        <f>Fin_Analysis!I82</f>
        <v>2.5630406545468234E-2</v>
      </c>
      <c r="F25" s="140" t="s">
        <v>174</v>
      </c>
      <c r="G25" s="172">
        <f>Fin_Analysis!I88</f>
        <v>1.5866671803691612</v>
      </c>
    </row>
    <row r="26" spans="1:8" ht="15.75" customHeight="1" x14ac:dyDescent="0.4">
      <c r="B26" s="138" t="s">
        <v>173</v>
      </c>
      <c r="C26" s="172">
        <f>Fin_Analysis!I83</f>
        <v>8.1342449801464822E-2</v>
      </c>
      <c r="F26" s="141" t="s">
        <v>193</v>
      </c>
      <c r="G26" s="179">
        <f>Fin_Analysis!H88*Exchange_Rate/G3</f>
        <v>6.751194086701813E-2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39.689842954311253</v>
      </c>
      <c r="D29" s="129">
        <f>G29*(1+G20)</f>
        <v>76.291046124887245</v>
      </c>
      <c r="E29" s="87"/>
      <c r="F29" s="131">
        <f>IF(Fin_Analysis!C108="Profit",Fin_Analysis!F100,IF(Fin_Analysis!C108="Dividend",Fin_Analysis!F103,Fin_Analysis!F106))</f>
        <v>46.693932887425007</v>
      </c>
      <c r="G29" s="273">
        <f>IF(Fin_Analysis!C108="Profit",Fin_Analysis!I100,IF(Fin_Analysis!C108="Dividend",Fin_Analysis!I103,Fin_Analysis!I106))</f>
        <v>66.340040108597606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-25604.758676453377</v>
      </c>
      <c r="E6" s="56">
        <f>1-D6/D3</f>
        <v>1.0185022994780961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1.0457139979600658</v>
      </c>
      <c r="E53" s="88">
        <f>IF(C53=0,0,MAX(C53,C53*Dashboard!G23))</f>
        <v>4522.713041177285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232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160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4.2549528787322925E-2</v>
      </c>
      <c r="D87" s="210"/>
      <c r="E87" s="263">
        <f>E86*Exchange_Rate/Dashboard!G3</f>
        <v>4.2549528787322925E-2</v>
      </c>
      <c r="F87" s="210"/>
      <c r="H87" s="263">
        <f>H86*Exchange_Rate/Dashboard!G3</f>
        <v>4.2549528787322925E-2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221</v>
      </c>
      <c r="C89" s="262">
        <f>C88*Exchange_Rate/Dashboard!G3</f>
        <v>6.751194086701813E-2</v>
      </c>
      <c r="D89" s="210"/>
      <c r="E89" s="262">
        <f>E88*Exchange_Rate/Dashboard!G3</f>
        <v>6.751194086701813E-2</v>
      </c>
      <c r="F89" s="210"/>
      <c r="H89" s="262">
        <f>H88*Exchange_Rate/Dashboard!G3</f>
        <v>6.751194086701813E-2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52.587629136202011</v>
      </c>
      <c r="H93" s="87" t="s">
        <v>209</v>
      </c>
      <c r="I93" s="144">
        <f>FV(H87,D93,0,-(H86/C93))*Exchange_Rate</f>
        <v>52.587629136202011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93.918177525764889</v>
      </c>
      <c r="H94" s="87" t="s">
        <v>210</v>
      </c>
      <c r="I94" s="144">
        <f>FV(H89,D93,0,-(H88/C93))*Exchange_Rate</f>
        <v>93.918177525764889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561645.68876457156</v>
      </c>
      <c r="D97" s="214"/>
      <c r="E97" s="123">
        <f>PV(C94,D93,0,-F93)</f>
        <v>26.145345771014146</v>
      </c>
      <c r="F97" s="214"/>
      <c r="H97" s="123">
        <f>PV(C94,D93,0,-I93)</f>
        <v>26.145345771014146</v>
      </c>
      <c r="I97" s="123">
        <f>PV(C93,D93,0,-I93)</f>
        <v>37.145795606549541</v>
      </c>
      <c r="K97" s="24"/>
    </row>
    <row r="98" spans="2:11" ht="15" customHeight="1" x14ac:dyDescent="0.4">
      <c r="B98" s="28" t="s">
        <v>144</v>
      </c>
      <c r="C98" s="91">
        <f>E53*Exchange_Rate</f>
        <v>4850.617421338874</v>
      </c>
      <c r="D98" s="214"/>
      <c r="E98" s="214"/>
      <c r="F98" s="214"/>
      <c r="H98" s="123">
        <f>C98*Data!$C$4/Common_Shares</f>
        <v>0.22580262293613051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556795.07134323264</v>
      </c>
      <c r="D100" s="109">
        <f>MIN(F100*(1-C94),E100)</f>
        <v>22.031611675866312</v>
      </c>
      <c r="E100" s="109">
        <f>MAX(E97-H98+E99,0)</f>
        <v>25.919543148078017</v>
      </c>
      <c r="F100" s="109">
        <f>(E100+H100)/2</f>
        <v>25.919543148078013</v>
      </c>
      <c r="H100" s="109">
        <f>MAX(C100*Data!$C$4/Common_Shares,0)</f>
        <v>25.919543148078013</v>
      </c>
      <c r="I100" s="109">
        <f>MAX(I97-H98+H99,0)</f>
        <v>36.919992983613412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1003063.655281972</v>
      </c>
      <c r="D103" s="109">
        <f>MIN(F103*(1-C94),E103)</f>
        <v>39.689842954311253</v>
      </c>
      <c r="E103" s="123">
        <f>PV(C94,D93,0,-F94)</f>
        <v>46.693932887425007</v>
      </c>
      <c r="F103" s="109">
        <f>(E103+H103)/2</f>
        <v>46.693932887425007</v>
      </c>
      <c r="H103" s="123">
        <f>PV(C94,D93,0,-I94)</f>
        <v>46.693932887425007</v>
      </c>
      <c r="I103" s="109">
        <f>PV(C93,D93,0,-I94)</f>
        <v>66.340040108597606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779929.36331260239</v>
      </c>
      <c r="D106" s="109">
        <f>(D100+D103)/2</f>
        <v>30.860727315088781</v>
      </c>
      <c r="E106" s="123">
        <f>(E100+E103)/2</f>
        <v>36.306738017751513</v>
      </c>
      <c r="F106" s="109">
        <f>(F100+F103)/2</f>
        <v>36.306738017751513</v>
      </c>
      <c r="H106" s="123">
        <f>(H100+H103)/2</f>
        <v>36.306738017751513</v>
      </c>
      <c r="I106" s="123">
        <f>(I100+I103)/2</f>
        <v>51.630016546105509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