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0DAEC0-040A-43DA-A90D-64B9AD2D8D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7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<sst xmlns="http://schemas.openxmlformats.org/spreadsheetml/2006/main" count="390" uniqueCount="269">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</sst>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28698864088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4.5444987251260192E-2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37623092</v>
      </c>
      <c r="D72" s="249">
        <v>0</v>
      </c>
      <c r="E72" s="250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1766.HK</v>
      </c>
      <c r="D3" s="277"/>
      <c r="E3" s="87"/>
      <c r="F3" s="3" t="s">
        <v>1</v>
      </c>
      <c r="G3" s="132">
        <v>4.72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中国中车</v>
      </c>
      <c r="D4" s="279"/>
      <c r="E4" s="87"/>
      <c r="F4" s="3" t="s">
        <v>2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135458.63849535998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C0004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0.78463553343209413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0.63180282086339501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258</v>
      </c>
      <c r="G24" s="269">
        <f>G3/(Fin_Analysis!H86*G7)</f>
        <v>13.033179789207832</v>
      </c>
    </row>
    <row r="25" spans="1:8" ht="15.75" customHeight="1" x14ac:dyDescent="0.4">
      <c r="B25" s="137" t="s">
        <v>243</v>
      </c>
      <c r="C25" s="172">
        <f>Fin_Analysis!I82</f>
        <v>8.8200573996119572E-5</v>
      </c>
      <c r="F25" s="140" t="s">
        <v>174</v>
      </c>
      <c r="G25" s="172">
        <f>Fin_Analysis!I88</f>
        <v>0.59229268936393198</v>
      </c>
    </row>
    <row r="26" spans="1:8" ht="15.75" customHeight="1" x14ac:dyDescent="0.4">
      <c r="B26" s="138" t="s">
        <v>173</v>
      </c>
      <c r="C26" s="172">
        <f>Fin_Analysis!I83</f>
        <v>5.5156426590839844E-2</v>
      </c>
      <c r="F26" s="141" t="s">
        <v>193</v>
      </c>
      <c r="G26" s="179">
        <f>Fin_Analysis!H88*Exchange_Rate/G3</f>
        <v>4.5444987251260192E-2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1.5722845070288327</v>
      </c>
      <c r="D29" s="129">
        <f>G29*(1+G20)</f>
        <v>3.0222147763412281</v>
      </c>
      <c r="E29" s="87"/>
      <c r="F29" s="131">
        <f>IF(Fin_Analysis!C108="Profit",Fin_Analysis!F100,IF(Fin_Analysis!C108="Dividend",Fin_Analysis!F103,Fin_Analysis!F106))</f>
        <v>1.8497464788574502</v>
      </c>
      <c r="G29" s="273">
        <f>IF(Fin_Analysis!C108="Profit",Fin_Analysis!I100,IF(Fin_Analysis!C108="Dividend",Fin_Analysis!I103,Fin_Analysis!I106))</f>
        <v>2.6280128489923724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-141162950.34489483</v>
      </c>
      <c r="E6" s="56">
        <f>1-D6/D3</f>
        <v>1.7061444823597895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8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95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232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160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7.6727246625420867E-2</v>
      </c>
      <c r="D87" s="210"/>
      <c r="E87" s="263">
        <f>E86*Exchange_Rate/Dashboard!G3</f>
        <v>7.6727246625420867E-2</v>
      </c>
      <c r="F87" s="210"/>
      <c r="H87" s="263">
        <f>H86*Exchange_Rate/Dashboard!G3</f>
        <v>7.6727246625420867E-2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221</v>
      </c>
      <c r="C89" s="262">
        <f>C88*Exchange_Rate/Dashboard!G3</f>
        <v>4.5444987251260192E-2</v>
      </c>
      <c r="D89" s="210"/>
      <c r="E89" s="262">
        <f>E88*Exchange_Rate/Dashboard!G3</f>
        <v>4.5444987251260192E-2</v>
      </c>
      <c r="F89" s="210"/>
      <c r="H89" s="262">
        <f>H88*Exchange_Rate/Dashboard!G3</f>
        <v>4.5444987251260192E-2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7.2792666932403236</v>
      </c>
      <c r="H93" s="87" t="s">
        <v>209</v>
      </c>
      <c r="I93" s="144">
        <f>FV(H87,D93,0,-(H86/C93))*Exchange_Rate</f>
        <v>7.2792666932403236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3.720500875302748</v>
      </c>
      <c r="H94" s="87" t="s">
        <v>210</v>
      </c>
      <c r="I94" s="144">
        <f>FV(H89,D93,0,-(H88/C93))*Exchange_Rate</f>
        <v>3.720500875302748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103863543.87371054</v>
      </c>
      <c r="D97" s="214"/>
      <c r="E97" s="123">
        <f>PV(C94,D93,0,-F93)</f>
        <v>3.6190820499108023</v>
      </c>
      <c r="F97" s="214"/>
      <c r="H97" s="123">
        <f>PV(C94,D93,0,-I93)</f>
        <v>3.6190820499108023</v>
      </c>
      <c r="I97" s="123">
        <f>PV(C93,D93,0,-I93)</f>
        <v>5.1417825293539607</v>
      </c>
      <c r="K97" s="24"/>
    </row>
    <row r="98" spans="2:11" ht="15" customHeight="1" x14ac:dyDescent="0.4">
      <c r="B98" s="28" t="s">
        <v>144</v>
      </c>
      <c r="C98" s="91">
        <f>E53*Exchange_Rate</f>
        <v>42381746.126529098</v>
      </c>
      <c r="D98" s="214"/>
      <c r="E98" s="214"/>
      <c r="F98" s="214"/>
      <c r="H98" s="123">
        <f>C98*Data!$C$4/Common_Shares</f>
        <v>1.4767743418893848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61481797.747181445</v>
      </c>
      <c r="D100" s="109">
        <f>MIN(F100*(1-C94),E100)</f>
        <v>1.8209615518182045</v>
      </c>
      <c r="E100" s="109">
        <f>MAX(E97-H98+E99,0)</f>
        <v>2.1423077080214172</v>
      </c>
      <c r="F100" s="109">
        <f>(E100+H100)/2</f>
        <v>2.1423077080214172</v>
      </c>
      <c r="H100" s="109">
        <f>MAX(C100*Data!$C$4/Common_Shares,0)</f>
        <v>2.1423077080214172</v>
      </c>
      <c r="I100" s="109">
        <f>MAX(I97-H98+H99,0)</f>
        <v>3.6650081874645757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53085622.793986529</v>
      </c>
      <c r="D103" s="109">
        <f>MIN(F103*(1-C94),E103)</f>
        <v>1.5722845070288327</v>
      </c>
      <c r="E103" s="123">
        <f>PV(C94,D93,0,-F94)</f>
        <v>1.8497464788574502</v>
      </c>
      <c r="F103" s="109">
        <f>(E103+H103)/2</f>
        <v>1.8497464788574502</v>
      </c>
      <c r="H103" s="123">
        <f>PV(C94,D93,0,-I94)</f>
        <v>1.8497464788574502</v>
      </c>
      <c r="I103" s="109">
        <f>PV(C93,D93,0,-I94)</f>
        <v>2.6280128489923724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57283710.270583987</v>
      </c>
      <c r="D106" s="109">
        <f>(D100+D103)/2</f>
        <v>1.6966230294235185</v>
      </c>
      <c r="E106" s="123">
        <f>(E100+E103)/2</f>
        <v>1.9960270934394337</v>
      </c>
      <c r="F106" s="109">
        <f>(F100+F103)/2</f>
        <v>1.9960270934394337</v>
      </c>
      <c r="H106" s="123">
        <f>(H100+H103)/2</f>
        <v>1.9960270934394337</v>
      </c>
      <c r="I106" s="123">
        <f>(I100+I103)/2</f>
        <v>3.1465105182284741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