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8ACEF04-EC15-4AFF-9EF9-FA97AFDF0BE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E92" i="4"/>
  <c r="F97" i="4"/>
  <c r="F93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<sst xmlns="http://schemas.openxmlformats.org/spreadsheetml/2006/main" count="390" uniqueCount="269">
  <si>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</si>
  <si>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</si>
  <si>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</si>
  <si>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</si>
  <si>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</si>
  <si>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</si>
  <si>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</si>
  <si>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</si>
  <si>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</si>
  <si>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</si>
  <si>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</si>
  <si>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</si>
  <si>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</si>
  <si>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</si>
  <si>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</si>
  <si>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</si>
  <si>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</si>
  <si>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</si>
  <si>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</si>
  <si>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</si>
  <si>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</si>
  <si>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</si>
  <si>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</si>
  <si>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</si>
  <si>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</si>
  <si>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</si>
  <si>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</si>
  <si>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</si>
  <si>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</si>
  <si>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</si>
  <si>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</si>
  <si>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</si>
  <si>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</si>
  <si>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</si>
  <si>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</si>
  <si>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</si>
  <si>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</si>
  <si>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</si>
  <si>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</si>
  <si>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</si>
  <si>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</si>
  <si>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</si>
  <si>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</si>
  <si>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</si>
  <si>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</si>
  <si>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</si>
  <si>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</si>
  <si>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</si>
  <si>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</si>
  <si>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</si>
  <si>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</si>
  <si>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</si>
  <si>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</si>
  <si>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</si>
  <si>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</si>
  <si>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</si>
  <si>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</si>
  <si>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</si>
  <si>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</si>
  <si>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</si>
  <si>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</si>
  <si>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</si>
  <si>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</si>
  <si>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</si>
  <si>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</si>
  <si>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</si>
  <si>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</si>
  <si>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</si>
  <si>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</si>
  <si>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</si>
  <si>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</si>
  <si>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</si>
  <si>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</si>
  <si>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</si>
  <si>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</si>
  <si>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</si>
  <si>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</si>
  <si>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</si>
  <si>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</si>
  <si>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</si>
  <si>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</si>
  <si>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</si>
  <si>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</si>
  <si>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</si>
  <si>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</si>
  <si>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</si>
  <si>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</si>
  <si>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</si>
  <si>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</si>
  <si>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</si>
  <si>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</si>
  <si>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</si>
  <si>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</si>
  <si>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</si>
  <si>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</si>
  <si>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</si>
  <si>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</si>
  <si>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</si>
  <si>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</si>
  <si>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</si>
  <si>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</si>
  <si>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</si>
  <si>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</si>
  <si>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</si>
  <si>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</si>
  <si>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</si>
  <si>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</si>
  <si>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</si>
  <si>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</si>
  <si>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</si>
  <si>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</si>
  <si>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</si>
  <si>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</si>
  <si>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</si>
  <si>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</si>
  <si>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</si>
  <si>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</si>
  <si>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</si>
  <si>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</si>
  <si>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</si>
  <si>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</si>
  <si>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</si>
  <si>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</si>
  <si>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</si>
  <si>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</si>
  <si>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</si>
  <si>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</si>
  <si>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</si>
  <si>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</si>
  <si>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</si>
  <si>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</si>
  <si>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</si>
  <si>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</si>
  <si>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</si>
  <si>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</si>
  <si>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</si>
  <si>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</si>
  <si>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</si>
  <si>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</si>
  <si>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</si>
  <si>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</si>
  <si>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</si>
  <si>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</si>
  <si>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</si>
  <si>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</si>
  <si>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</si>
  <si>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</si>
  <si>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</si>
  <si>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</si>
  <si>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</si>
  <si>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</si>
  <si>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</si>
  <si>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</si>
  <si>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</si>
  <si>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</si>
  <si>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</si>
  <si>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</si>
  <si>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</si>
  <si>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</si>
  <si>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</si>
  <si>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</si>
  <si>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</si>
  <si>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</si>
  <si>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</si>
  <si>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</si>
  <si>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</si>
  <si>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</si>
  <si>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</si>
  <si>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</si>
  <si>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</si>
  <si>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</si>
  <si>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</si>
  <si>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</si>
  <si>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</si>
  <si>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</si>
  <si>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</si>
  <si>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</si>
  <si>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</si>
  <si>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</si>
  <si>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</si>
  <si>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</si>
  <si>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</si>
  <si>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</si>
  <si>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</si>
  <si>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</si>
  <si>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</si>
  <si>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</si>
  <si>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</si>
  <si>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</si>
  <si>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</si>
  <si>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</si>
  <si>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</si>
  <si>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</si>
  <si>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</si>
  <si>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</si>
  <si>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</si>
  <si>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</si>
  <si>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</si>
  <si>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</si>
  <si>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</si>
  <si>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</si>
  <si>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</si>
  <si>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</si>
  <si>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</si>
  <si>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</si>
  <si>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</si>
  <si>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</si>
  <si>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</si>
  <si>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</si>
  <si>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</si>
  <si>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</si>
  <si>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</si>
  <si>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</si>
  <si>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</si>
  <si>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</si>
  <si>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</si>
  <si>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</si>
  <si>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</si>
  <si>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</si>
  <si>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</si>
  <si>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</si>
  <si>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</si>
  <si>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</si>
  <si>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</si>
  <si>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</si>
  <si>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</si>
  <si>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</si>
  <si>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</si>
  <si>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</si>
  <si>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</si>
  <si>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</si>
  <si>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</si>
  <si>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</si>
  <si>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</si>
  <si>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</si>
  <si>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</si>
  <si>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</si>
  <si>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</si>
  <si>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</si>
  <si>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</si>
  <si>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</si>
  <si>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</si>
  <si>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</si>
  <si>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</si>
  <si>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</si>
  <si>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</si>
  <si>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</si>
  <si>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</si>
  <si>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</si>
  <si>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</si>
  <si>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</si>
  <si>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</si>
  <si>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</si>
  <si>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</si>
  <si>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</si>
  <si>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</si>
  <si>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</si>
  <si>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</si>
  <si>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</si>
  <si>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</si>
  <si>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</si>
  <si>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6186.HK</t>
  </si>
  <si>
    <t>中国飞鹤</t>
  </si>
  <si>
    <t>C0002</t>
  </si>
  <si>
    <t>CNY</t>
  </si>
  <si>
    <t>CN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</si>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</sst>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9067251704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267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19532203</v>
      </c>
      <c r="D25" s="150">
        <v>21310933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6868850</v>
      </c>
      <c r="D26" s="151">
        <v>7360333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8571978</v>
      </c>
      <c r="D27" s="151">
        <v>8215637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53132</v>
      </c>
      <c r="D29" s="151">
        <v>33640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-99657</v>
      </c>
      <c r="D30" s="151">
        <v>6058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-337926</v>
      </c>
      <c r="D31" s="151">
        <v>827860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630037</v>
      </c>
      <c r="D32" s="151">
        <v>543737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630037</v>
      </c>
      <c r="D33" s="151">
        <v>543737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0.1484+0.1632</f>
        <v>0.31159999999999999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5.8940305017429827E-2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112402</v>
      </c>
      <c r="D72" s="249">
        <v>0</v>
      </c>
      <c r="E72" s="250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19532203</v>
      </c>
      <c r="D91" s="210"/>
      <c r="E91" s="252">
        <f>C91</f>
        <v>19532203</v>
      </c>
      <c r="F91" s="252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60">
        <f>C92/C91</f>
        <v>0.35166796085418528</v>
      </c>
      <c r="E92" s="253">
        <f>E91*D92</f>
        <v>6868850</v>
      </c>
      <c r="F92" s="253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60">
        <f>C93/C91</f>
        <v>0.43886385985236792</v>
      </c>
      <c r="E93" s="253">
        <f>E91*D93</f>
        <v>8571978</v>
      </c>
      <c r="F93" s="253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60">
        <f>C94/C91</f>
        <v>2.7202256703967287E-3</v>
      </c>
      <c r="E94" s="254"/>
      <c r="F94" s="253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0.31159999999999999</v>
      </c>
      <c r="D98" s="267"/>
      <c r="E98" s="255">
        <f>F98</f>
        <v>0.31159999999999999</v>
      </c>
      <c r="F98" s="255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6186.HK</v>
      </c>
      <c r="D3" s="277"/>
      <c r="E3" s="87"/>
      <c r="F3" s="3" t="s">
        <v>1</v>
      </c>
      <c r="G3" s="132">
        <v>5.67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中国飞鹤</v>
      </c>
      <c r="D4" s="279"/>
      <c r="E4" s="87"/>
      <c r="F4" s="3" t="s">
        <v>2</v>
      </c>
      <c r="G4" s="282">
        <f>Inputs!C10</f>
        <v>9067251704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51411.317161680003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0.35166796085418528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1.7725337770491287</v>
      </c>
    </row>
    <row r="24" spans="1:8" ht="15.75" customHeight="1" x14ac:dyDescent="0.4">
      <c r="B24" s="137" t="s">
        <v>170</v>
      </c>
      <c r="C24" s="172">
        <f>Fin_Analysis!I81</f>
        <v>2.7202256703967287E-3</v>
      </c>
      <c r="F24" s="140" t="s">
        <v>260</v>
      </c>
      <c r="G24" s="269">
        <f>G3/(Fin_Analysis!H86*G7)</f>
        <v>15.827307111573019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0.93286630876064991</v>
      </c>
    </row>
    <row r="26" spans="1:8" ht="15.75" customHeight="1" x14ac:dyDescent="0.4">
      <c r="B26" s="138" t="s">
        <v>173</v>
      </c>
      <c r="C26" s="172">
        <f>Fin_Analysis!I83</f>
        <v>0.2067479536230501</v>
      </c>
      <c r="F26" s="141" t="s">
        <v>193</v>
      </c>
      <c r="G26" s="179">
        <f>Fin_Analysis!H88*Exchange_Rate/G3</f>
        <v>5.8940305017429827E-2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3.6653782154650805</v>
      </c>
      <c r="D29" s="129">
        <f>G29*(1+G20)</f>
        <v>6.7016222159482721</v>
      </c>
      <c r="E29" s="87"/>
      <c r="F29" s="131">
        <f>IF(Fin_Analysis!C108="Profit",Fin_Analysis!F100,IF(Fin_Analysis!C108="Dividend",Fin_Analysis!F103,Fin_Analysis!F106))</f>
        <v>4.312209665253036</v>
      </c>
      <c r="G29" s="273">
        <f>IF(Fin_Analysis!C108="Profit",Fin_Analysis!I100,IF(Fin_Analysis!C108="Dividend",Fin_Analysis!I103,Fin_Analysis!I106))</f>
        <v>5.8274975790854544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19532203</v>
      </c>
      <c r="D6" s="201">
        <f>IF(Inputs!D25="","",Inputs!D25)</f>
        <v>21310933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6868850</v>
      </c>
      <c r="D8" s="200">
        <f>IF(Inputs!D26="","",Inputs!D26)</f>
        <v>7360333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12663353</v>
      </c>
      <c r="D9" s="152">
        <f t="shared" si="2"/>
        <v>13950600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8571978</v>
      </c>
      <c r="D10" s="200">
        <f>IF(Inputs!D27="","",Inputs!D27)</f>
        <v>8215637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8077.333333333333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0.20946817929344683</v>
      </c>
      <c r="D13" s="230">
        <f t="shared" si="3"/>
        <v>0.26872993625697511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4091375</v>
      </c>
      <c r="D14" s="231">
        <f t="shared" ref="D14:M14" si="4">IF(D6="","",D9-D10-MAX(D11,0)-MAX(D12,0))</f>
        <v>5726885.666666667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-0.28558465488252288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-337926</v>
      </c>
      <c r="D16" s="200">
        <f>IF(Inputs!D31="","",Inputs!D31)</f>
        <v>827860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53132</v>
      </c>
      <c r="D17" s="200">
        <f>IF(Inputs!D29="","",Inputs!D29)</f>
        <v>33640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3.2256320498000146E-2</v>
      </c>
      <c r="D18" s="153">
        <f t="shared" si="6"/>
        <v>2.5514462459245685E-2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630037</v>
      </c>
      <c r="D19" s="200">
        <f>IF(Inputs!D32="","",Inputs!D32)</f>
        <v>543737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3.2256320498000146E-2</v>
      </c>
      <c r="D20" s="153">
        <f t="shared" si="7"/>
        <v>2.5514462459245685E-2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630037</v>
      </c>
      <c r="D21" s="200">
        <f>IF(Inputs!D33="","",Inputs!D33)</f>
        <v>543737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4038243</v>
      </c>
      <c r="D22" s="162">
        <f t="shared" ref="D22:M22" si="8">IF(D6="","",D14-MAX(D16,0)-MAX(D17,0)-ABS(MAX(D21,0)-MAX(D19,0)))</f>
        <v>4865385.666666667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0.15506096521728757</v>
      </c>
      <c r="D23" s="154">
        <f t="shared" si="9"/>
        <v>0.17122850745202006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-0.17000557064438263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0.25450844870697176</v>
      </c>
      <c r="D40" s="156">
        <f>IF(D6="","",D14/MAX(D39,0))</f>
        <v>0.35294322231741876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0.35166796085418528</v>
      </c>
      <c r="D42" s="157">
        <f t="shared" si="34"/>
        <v>0.34537826194657922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0.43886385985236792</v>
      </c>
      <c r="D43" s="154">
        <f t="shared" si="35"/>
        <v>0.3855127788163944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3.8846727170509146E-2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2.7202256703967287E-3</v>
      </c>
      <c r="D45" s="154">
        <f t="shared" si="37"/>
        <v>1.5785324837725313E-3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3.7902298005128792E-4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0.2067479536230501</v>
      </c>
      <c r="D48" s="154">
        <f t="shared" si="40"/>
        <v>0.22830467660269341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1.5792995802879992E-2</v>
      </c>
      <c r="D50" s="157">
        <f t="shared" si="41"/>
        <v>2.0232994960849439E-2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0.1095241023247608</v>
      </c>
      <c r="D51" s="154">
        <f t="shared" si="42"/>
        <v>0.10595777294217949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0.24054125361195433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2.9729097204175368</v>
      </c>
      <c r="D54" s="158">
        <f t="shared" si="44"/>
        <v>2.9732033660634771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1.3157207230966536E-2</v>
      </c>
      <c r="D55" s="154">
        <f t="shared" si="45"/>
        <v>6.9141487036622033E-3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3.3364014362803656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9549820.9531755298</v>
      </c>
      <c r="E6" s="56">
        <f>1-D6/D3</f>
        <v>0.64687455927637694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1.1295814358111651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9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9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9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9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9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7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9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9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9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9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9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9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9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8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1.7725337770491285</v>
      </c>
      <c r="E53" s="88">
        <f>IF(C53=0,0,MAX(C53,C53*Dashboard!G23))</f>
        <v>2528402.4457312967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1358347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10"/>
      <c r="E74" s="239">
        <f>Inputs!E91</f>
        <v>19532203</v>
      </c>
      <c r="F74" s="210"/>
      <c r="H74" s="239">
        <f>Inputs!F91</f>
        <v>19532203</v>
      </c>
      <c r="I74" s="210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60">
        <f>C75/$C$74</f>
        <v>0.35166796085418528</v>
      </c>
      <c r="E75" s="239">
        <f>Inputs!E92</f>
        <v>6868850</v>
      </c>
      <c r="F75" s="161">
        <f>E75/E74</f>
        <v>0.35166796085418528</v>
      </c>
      <c r="H75" s="239">
        <f>Inputs!F92</f>
        <v>6868850</v>
      </c>
      <c r="I75" s="161">
        <f>H75/$H$74</f>
        <v>0.35166796085418528</v>
      </c>
      <c r="K75" s="24"/>
    </row>
    <row r="76" spans="1:11" ht="15" customHeight="1" x14ac:dyDescent="0.4">
      <c r="B76" s="35" t="s">
        <v>95</v>
      </c>
      <c r="C76" s="162">
        <f>C74-C75</f>
        <v>12663353</v>
      </c>
      <c r="D76" s="211"/>
      <c r="E76" s="163">
        <f>E74-E75</f>
        <v>12663353</v>
      </c>
      <c r="F76" s="211"/>
      <c r="H76" s="163">
        <f>H74-H75</f>
        <v>12663353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60">
        <f>C77/$C$74</f>
        <v>0.43886385985236792</v>
      </c>
      <c r="E77" s="239">
        <f>Inputs!E93</f>
        <v>8571978</v>
      </c>
      <c r="F77" s="161">
        <f>E77/E74</f>
        <v>0.43886385985236792</v>
      </c>
      <c r="H77" s="239">
        <f>Inputs!F93</f>
        <v>8571978</v>
      </c>
      <c r="I77" s="161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4091375</v>
      </c>
      <c r="D79" s="259">
        <f>C79/C74</f>
        <v>0.20946817929344683</v>
      </c>
      <c r="E79" s="260">
        <f>E76-E77-E78</f>
        <v>4091375</v>
      </c>
      <c r="F79" s="259">
        <f>E79/E74</f>
        <v>0.20946817929344683</v>
      </c>
      <c r="G79" s="261"/>
      <c r="H79" s="260">
        <f>H76-H77-H78</f>
        <v>4091375</v>
      </c>
      <c r="I79" s="259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60">
        <f>C81/$C$74</f>
        <v>2.7202256703967287E-3</v>
      </c>
      <c r="E81" s="181">
        <f>E74*F81</f>
        <v>53131.999999999993</v>
      </c>
      <c r="F81" s="161">
        <f>I81</f>
        <v>2.7202256703967287E-3</v>
      </c>
      <c r="H81" s="239">
        <f>Inputs!F94</f>
        <v>53131.999999999993</v>
      </c>
      <c r="I81" s="161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4038243</v>
      </c>
      <c r="D83" s="165">
        <f>C83/$C$74</f>
        <v>0.2067479536230501</v>
      </c>
      <c r="E83" s="166">
        <f>E79-E81-E82-E80</f>
        <v>4038243</v>
      </c>
      <c r="F83" s="165">
        <f>E83/E74</f>
        <v>0.2067479536230501</v>
      </c>
      <c r="H83" s="166">
        <f>H79-H81-H82-H80</f>
        <v>4038243</v>
      </c>
      <c r="I83" s="165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3028682.25</v>
      </c>
      <c r="D85" s="259">
        <f>C85/$C$74</f>
        <v>0.15506096521728757</v>
      </c>
      <c r="E85" s="265">
        <f>E83*(1-F84)</f>
        <v>3028682.25</v>
      </c>
      <c r="F85" s="259">
        <f>E85/E74</f>
        <v>0.15506096521728757</v>
      </c>
      <c r="G85" s="261"/>
      <c r="H85" s="265">
        <f>H83*(1-I84)</f>
        <v>3028682.25</v>
      </c>
      <c r="I85" s="259">
        <f>H85/$H$74</f>
        <v>0.15506096521728757</v>
      </c>
      <c r="K85" s="24"/>
    </row>
    <row r="86" spans="1:11" ht="15" customHeight="1" x14ac:dyDescent="0.4">
      <c r="B86" s="87" t="s">
        <v>160</v>
      </c>
      <c r="C86" s="168">
        <f>C85*Data!C4/Common_Shares</f>
        <v>0.33402428308722287</v>
      </c>
      <c r="D86" s="210"/>
      <c r="E86" s="169">
        <f>E85*Data!C4/Common_Shares</f>
        <v>0.33402428308722287</v>
      </c>
      <c r="F86" s="210"/>
      <c r="H86" s="169">
        <f>H85*Data!C4/Common_Shares</f>
        <v>0.33402428308722287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6.3181942003816563E-2</v>
      </c>
      <c r="D87" s="210"/>
      <c r="E87" s="263">
        <f>E86*Exchange_Rate/Dashboard!G3</f>
        <v>6.3181942003816563E-2</v>
      </c>
      <c r="F87" s="210"/>
      <c r="H87" s="263">
        <f>H86*Exchange_Rate/Dashboard!G3</f>
        <v>6.3181942003816563E-2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0.31159999999999999</v>
      </c>
      <c r="D88" s="167">
        <f>C88/C86</f>
        <v>0.93286630876064991</v>
      </c>
      <c r="E88" s="171">
        <f>Inputs!E98</f>
        <v>0.31159999999999999</v>
      </c>
      <c r="F88" s="167">
        <f>E88/E86</f>
        <v>0.93286630876064991</v>
      </c>
      <c r="H88" s="171">
        <f>Inputs!F98</f>
        <v>0.31159999999999999</v>
      </c>
      <c r="I88" s="167">
        <f>H88/H86</f>
        <v>0.93286630876064991</v>
      </c>
      <c r="K88" s="24"/>
    </row>
    <row r="89" spans="1:11" ht="15" customHeight="1" x14ac:dyDescent="0.4">
      <c r="B89" s="87" t="s">
        <v>221</v>
      </c>
      <c r="C89" s="262">
        <f>C88*Exchange_Rate/Dashboard!G3</f>
        <v>5.8940305017429827E-2</v>
      </c>
      <c r="D89" s="210"/>
      <c r="E89" s="262">
        <f>E88*Exchange_Rate/Dashboard!G3</f>
        <v>5.8940305017429827E-2</v>
      </c>
      <c r="F89" s="210"/>
      <c r="H89" s="262">
        <f>H88*Exchange_Rate/Dashboard!G3</f>
        <v>5.8940305017429827E-2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6.7589851278468513</v>
      </c>
      <c r="H93" s="87" t="s">
        <v>209</v>
      </c>
      <c r="I93" s="144">
        <f>FV(H87,D93,0,-(H86/C93))*Exchange_Rate</f>
        <v>6.7589851278468513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6.1804533737245908</v>
      </c>
      <c r="H94" s="87" t="s">
        <v>210</v>
      </c>
      <c r="I94" s="144">
        <f>FV(H89,D93,0,-(H88/C93))*Exchange_Rate</f>
        <v>6.1804533737245908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30469684.74751829</v>
      </c>
      <c r="D97" s="214"/>
      <c r="E97" s="123">
        <f>PV(C94,D93,0,-F93)</f>
        <v>3.3604101597925919</v>
      </c>
      <c r="F97" s="214"/>
      <c r="H97" s="123">
        <f>PV(C94,D93,0,-I93)</f>
        <v>3.3604101597925919</v>
      </c>
      <c r="I97" s="123">
        <f>PV(C93,D93,0,-I93)</f>
        <v>4.7742764636991186</v>
      </c>
      <c r="K97" s="24"/>
    </row>
    <row r="98" spans="2:11" ht="15" customHeight="1" x14ac:dyDescent="0.4">
      <c r="B98" s="28" t="s">
        <v>144</v>
      </c>
      <c r="C98" s="91">
        <f>E53*Exchange_Rate</f>
        <v>2711715.919130607</v>
      </c>
      <c r="D98" s="214"/>
      <c r="E98" s="214"/>
      <c r="F98" s="214"/>
      <c r="H98" s="123">
        <f>C98*Data!$C$4/Common_Shares</f>
        <v>0.2990670169588806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12261536.872306138</v>
      </c>
      <c r="D99" s="215"/>
      <c r="E99" s="146">
        <f>IF(H99&gt;0,H99*(1-C94),H99*(1+C94))</f>
        <v>1.1494449124934338</v>
      </c>
      <c r="F99" s="215"/>
      <c r="H99" s="146">
        <f>C99*Data!$C$4/Common_Shares</f>
        <v>1.3522881323452163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40019505.700693816</v>
      </c>
      <c r="D100" s="109">
        <f>MIN(F100*(1-C94),E100)</f>
        <v>3.6653782154650805</v>
      </c>
      <c r="E100" s="109">
        <f>MAX(E97-H98+E99,0)</f>
        <v>4.2107880553271455</v>
      </c>
      <c r="F100" s="109">
        <f>(E100+H100)/2</f>
        <v>4.312209665253036</v>
      </c>
      <c r="H100" s="109">
        <f>MAX(C100*Data!$C$4/Common_Shares,0)</f>
        <v>4.4136312751789264</v>
      </c>
      <c r="I100" s="109">
        <f>MAX(I97-H98+H99,0)</f>
        <v>5.8274975790854544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27861648.210803859</v>
      </c>
      <c r="D103" s="109">
        <f>MIN(F103*(1-C94),E103)</f>
        <v>2.6118609863599391</v>
      </c>
      <c r="E103" s="123">
        <f>PV(C94,D93,0,-F94)</f>
        <v>3.0727776310116934</v>
      </c>
      <c r="F103" s="109">
        <f>(E103+H103)/2</f>
        <v>3.0727776310116934</v>
      </c>
      <c r="H103" s="123">
        <f>PV(C94,D93,0,-I94)</f>
        <v>3.0727776310116934</v>
      </c>
      <c r="I103" s="109">
        <f>PV(C93,D93,0,-I94)</f>
        <v>4.3656247970711197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33020961.690325886</v>
      </c>
      <c r="D106" s="109">
        <f>(D100+D103)/2</f>
        <v>3.1386196009125098</v>
      </c>
      <c r="E106" s="123">
        <f>(E100+E103)/2</f>
        <v>3.6417828431694197</v>
      </c>
      <c r="F106" s="109">
        <f>(F100+F103)/2</f>
        <v>3.6924936481323645</v>
      </c>
      <c r="H106" s="123">
        <f>(H100+H103)/2</f>
        <v>3.7432044530953101</v>
      </c>
      <c r="I106" s="123">
        <f>(I100+I103)/2</f>
        <v>5.0965611880782866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