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265ED9-58F8-44AF-8304-D55349BC9B7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E95" i="4" l="1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<sst xmlns="http://schemas.openxmlformats.org/spreadsheetml/2006/main" count="405" uniqueCount="288">
  <si>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</si>
  <si>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</si>
  <si>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</si>
  <si>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</si>
  <si>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</si>
  <si>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</si>
  <si>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</si>
  <si>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</si>
  <si>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</si>
  <si>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</si>
  <si>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</si>
  <si>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</si>
  <si>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</si>
  <si>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</si>
  <si>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</si>
  <si>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</si>
  <si>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</si>
  <si>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</si>
  <si>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</si>
  <si>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</si>
  <si>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</si>
  <si>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</si>
  <si>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</si>
  <si>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</si>
  <si>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</si>
  <si>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</si>
  <si>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</si>
  <si>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</si>
  <si>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</si>
  <si>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</si>
  <si>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</si>
  <si>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</si>
  <si>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</si>
  <si>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</si>
  <si>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</si>
  <si>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</si>
  <si>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</si>
  <si>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</si>
  <si>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</si>
  <si>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</si>
  <si>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</si>
  <si>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</si>
  <si>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</si>
  <si>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</si>
  <si>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</si>
  <si>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</si>
  <si>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</si>
  <si>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</si>
  <si>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</si>
  <si>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</si>
  <si>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</si>
  <si>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</si>
  <si>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</si>
  <si>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</si>
  <si>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</si>
  <si>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</si>
  <si>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</si>
  <si>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</si>
  <si>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</si>
  <si>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</si>
  <si>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</si>
  <si>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</si>
  <si>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</si>
  <si>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</si>
  <si>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</si>
  <si>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</si>
  <si>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</si>
  <si>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</si>
  <si>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</si>
  <si>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</si>
  <si>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</si>
  <si>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</si>
  <si>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</si>
  <si>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</si>
  <si>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</si>
  <si>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</si>
  <si>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</si>
  <si>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</si>
  <si>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</si>
  <si>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</si>
  <si>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</si>
  <si>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</si>
  <si>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</si>
  <si>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</si>
  <si>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</si>
  <si>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</si>
  <si>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</si>
  <si>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</si>
  <si>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</si>
  <si>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</si>
  <si>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</si>
  <si>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</si>
  <si>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</si>
  <si>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</si>
  <si>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</si>
  <si>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</si>
  <si>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</si>
  <si>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</si>
  <si>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</si>
  <si>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</si>
  <si>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</si>
  <si>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</si>
  <si>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</si>
  <si>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</si>
  <si>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</si>
  <si>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</si>
  <si>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</si>
  <si>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</si>
  <si>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</si>
  <si>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</si>
  <si>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</si>
  <si>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</si>
  <si>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</si>
  <si>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</si>
  <si>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</si>
  <si>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</si>
  <si>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</si>
  <si>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</si>
  <si>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</si>
  <si>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</si>
  <si>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</si>
  <si>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</si>
  <si>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</si>
  <si>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</si>
  <si>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</si>
  <si>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</si>
  <si>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</si>
  <si>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</si>
  <si>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</si>
  <si>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</si>
  <si>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</si>
  <si>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</si>
  <si>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</si>
  <si>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</si>
  <si>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</si>
  <si>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</si>
  <si>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</si>
  <si>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</si>
  <si>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</si>
  <si>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</si>
  <si>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</si>
  <si>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</si>
  <si>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</si>
  <si>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</si>
  <si>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</si>
  <si>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</si>
  <si>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</si>
  <si>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</si>
  <si>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</si>
  <si>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</si>
  <si>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</si>
  <si>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</si>
  <si>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</si>
  <si>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</si>
  <si>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</si>
  <si>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</si>
  <si>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</si>
  <si>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</si>
  <si>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</si>
  <si>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</si>
  <si>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</si>
  <si>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</si>
  <si>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</si>
  <si>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</si>
  <si>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</si>
  <si>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</si>
  <si>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</si>
  <si>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</si>
  <si>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</si>
  <si>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</si>
  <si>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</si>
  <si>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</si>
  <si>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</si>
  <si>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</si>
  <si>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</si>
  <si>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</si>
  <si>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</si>
  <si>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</si>
  <si>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</si>
  <si>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</si>
  <si>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</si>
  <si>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</si>
  <si>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</si>
  <si>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</si>
  <si>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</si>
  <si>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</si>
  <si>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</si>
  <si>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</si>
  <si>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</si>
  <si>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</si>
  <si>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</si>
  <si>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</si>
  <si>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</si>
  <si>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</si>
  <si>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</si>
  <si>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</si>
  <si>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</si>
  <si>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</si>
  <si>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</si>
  <si>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</si>
  <si>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</si>
  <si>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</si>
  <si>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</si>
  <si>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</si>
  <si>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</si>
  <si>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</si>
  <si>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</si>
  <si>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</si>
  <si>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</si>
  <si>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</si>
  <si>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</si>
  <si>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</si>
  <si>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</si>
  <si>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</si>
  <si>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</si>
  <si>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</si>
  <si>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</si>
  <si>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</si>
  <si>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</si>
  <si>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</si>
  <si>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</si>
  <si>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</si>
  <si>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</si>
  <si>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</si>
  <si>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</si>
  <si>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</si>
  <si>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</si>
  <si>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</si>
  <si>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</si>
  <si>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</si>
  <si>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</si>
  <si>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</si>
  <si>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</si>
  <si>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</si>
  <si>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</si>
  <si>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</si>
  <si>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</si>
  <si>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</si>
  <si>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</si>
  <si>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</si>
  <si>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</si>
  <si>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</si>
  <si>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</si>
  <si>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</si>
  <si>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</si>
  <si>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</si>
  <si>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</si>
  <si>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</si>
  <si>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</si>
  <si>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</si>
  <si>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</si>
  <si>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</si>
  <si>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</si>
  <si>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</si>
  <si>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</si>
  <si>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</si>
  <si>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</si>
  <si>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</si>
  <si>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</si>
  <si>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</si>
  <si>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</si>
  <si>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</si>
  <si>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</si>
  <si>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</si>
  <si>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</si>
  <si>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</si>
  <si>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</si>
  <si>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</si>
  <si>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</si>
  <si>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</si>
  <si>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</si>
  <si>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</si>
  <si>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</si>
  <si>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</si>
  <si>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</si>
  <si>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</si>
  <si>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</si>
  <si>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</si>
  <si>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</si>
  <si>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</si>
  <si>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</si>
  <si>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</si>
  <si>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</si>
  <si>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0016.HK</t>
  </si>
  <si>
    <t>新鴻基地產</t>
  </si>
  <si>
    <t>C0005</t>
  </si>
  <si>
    <t>disagree</t>
  </si>
  <si>
    <t>Commodity-type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</si>
</sst>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45625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285</v>
      </c>
    </row>
    <row r="10" spans="1:5" x14ac:dyDescent="0.35">
      <c r="B10" s="39" t="s">
        <v>191</v>
      </c>
      <c r="C10" s="70">
        <v>2897780274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0.23499999999999999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279</v>
      </c>
      <c r="C24" s="286">
        <f>C12</f>
        <v>45473</v>
      </c>
      <c r="D24" s="287">
        <f>EOMONTH(EDATE(C24,-12),0)</f>
        <v>45107</v>
      </c>
      <c r="E24" s="287">
        <f t="shared" ref="E24:M24" si="0">EOMONTH(EDATE(D24,-12),0)</f>
        <v>44742</v>
      </c>
      <c r="F24" s="287">
        <f t="shared" si="0"/>
        <v>44377</v>
      </c>
      <c r="G24" s="287">
        <f t="shared" si="0"/>
        <v>44012</v>
      </c>
      <c r="H24" s="287">
        <f t="shared" si="0"/>
        <v>43646</v>
      </c>
      <c r="I24" s="287">
        <f t="shared" si="0"/>
        <v>43281</v>
      </c>
      <c r="J24" s="287">
        <f t="shared" si="0"/>
        <v>42916</v>
      </c>
      <c r="K24" s="287">
        <f t="shared" si="0"/>
        <v>42551</v>
      </c>
      <c r="L24" s="287">
        <f t="shared" si="0"/>
        <v>42185</v>
      </c>
      <c r="M24" s="287">
        <f t="shared" si="0"/>
        <v>41820</v>
      </c>
    </row>
    <row r="25" spans="2:13" x14ac:dyDescent="0.35">
      <c r="B25" s="263" t="s">
        <v>12</v>
      </c>
      <c r="C25" s="77">
        <v>71506</v>
      </c>
      <c r="D25" s="77">
        <v>71195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39292</v>
      </c>
      <c r="D26" s="78">
        <v>36737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3906+3322</f>
        <v>7228</v>
      </c>
      <c r="D27" s="78">
        <f>4179+3145</f>
        <v>7324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4046</v>
      </c>
      <c r="D29" s="78">
        <v>3053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668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559</v>
      </c>
      <c r="D31" s="78">
        <v>668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-2259</v>
      </c>
      <c r="D32" s="78">
        <v>-1565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4805</v>
      </c>
      <c r="D33" s="78">
        <v>4765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4396</v>
      </c>
      <c r="D34" s="78">
        <v>4262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207023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611071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4354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0.95+2.8</f>
        <v>3.75</v>
      </c>
      <c r="D44" s="81">
        <f>3.7+1.25</f>
        <v>4.95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5.3342816500711238E-2</v>
      </c>
      <c r="D45" s="82">
        <f>IF(D44="","",D44*Exchange_Rate/Dashboard!$G$3)</f>
        <v>7.0412517780938835E-2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16221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17115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>
        <v>748</v>
      </c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>
        <v>502</v>
      </c>
      <c r="D55" s="109">
        <f>D52</f>
        <v>0.5</v>
      </c>
      <c r="E55" s="260"/>
    </row>
    <row r="56" spans="2:5" x14ac:dyDescent="0.35">
      <c r="B56" s="2" t="s">
        <v>41</v>
      </c>
      <c r="C56" s="86">
        <v>214077</v>
      </c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>
        <v>1681</v>
      </c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f>7954+93101</f>
        <v>101055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408424</v>
      </c>
      <c r="D66" s="109">
        <v>0.2</v>
      </c>
      <c r="E66" s="261" t="s">
        <v>39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50190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4338</v>
      </c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3743</v>
      </c>
      <c r="D72" s="111">
        <v>0</v>
      </c>
      <c r="E72" s="262"/>
    </row>
    <row r="73" spans="2:5" x14ac:dyDescent="0.35">
      <c r="B73" s="9" t="s">
        <v>32</v>
      </c>
      <c r="C73" s="86">
        <v>10498</v>
      </c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62012</v>
      </c>
    </row>
    <row r="78" spans="2:5" ht="12" thickTop="1" x14ac:dyDescent="0.35">
      <c r="B78" s="9" t="s">
        <v>55</v>
      </c>
      <c r="C78" s="86">
        <v>116589</v>
      </c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145011</v>
      </c>
    </row>
    <row r="83" spans="2:8" hidden="1" x14ac:dyDescent="0.35">
      <c r="B83" s="300" t="s">
        <v>247</v>
      </c>
      <c r="C83" s="79">
        <v>606717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45473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71506</v>
      </c>
      <c r="D91" s="98"/>
      <c r="E91" s="99">
        <f>C91</f>
        <v>71506</v>
      </c>
      <c r="F91" s="99">
        <f>C91</f>
        <v>71506</v>
      </c>
    </row>
    <row r="92" spans="2:8" x14ac:dyDescent="0.35">
      <c r="B92" s="100" t="s">
        <v>98</v>
      </c>
      <c r="C92" s="97">
        <f>C26</f>
        <v>39292</v>
      </c>
      <c r="D92" s="101">
        <f>C92/C91</f>
        <v>0.54949235029228316</v>
      </c>
      <c r="E92" s="102">
        <f>E91*D92</f>
        <v>39292</v>
      </c>
      <c r="F92" s="102">
        <f>F91*D92</f>
        <v>39292</v>
      </c>
    </row>
    <row r="93" spans="2:8" x14ac:dyDescent="0.35">
      <c r="B93" s="100" t="s">
        <v>217</v>
      </c>
      <c r="C93" s="97">
        <f>C27+C28</f>
        <v>7228</v>
      </c>
      <c r="D93" s="101">
        <f>C93/C91</f>
        <v>0.10108242664951193</v>
      </c>
      <c r="E93" s="102">
        <f>E91*D93</f>
        <v>7228</v>
      </c>
      <c r="F93" s="102">
        <f>F91*D93</f>
        <v>7228</v>
      </c>
    </row>
    <row r="94" spans="2:8" x14ac:dyDescent="0.35">
      <c r="B94" s="100" t="s">
        <v>223</v>
      </c>
      <c r="C94" s="97">
        <f>C29</f>
        <v>4046</v>
      </c>
      <c r="D94" s="101">
        <f>C94/C91</f>
        <v>5.6582664391799292E-2</v>
      </c>
      <c r="E94" s="103"/>
      <c r="F94" s="102">
        <f>F91*D94</f>
        <v>4046</v>
      </c>
    </row>
    <row r="95" spans="2:8" x14ac:dyDescent="0.35">
      <c r="B95" s="18" t="s">
        <v>216</v>
      </c>
      <c r="C95" s="97">
        <f>ABS(MAX(C34,0)-C33)</f>
        <v>409</v>
      </c>
      <c r="D95" s="101">
        <f>C95/C91</f>
        <v>5.719799737085E-3</v>
      </c>
      <c r="E95" s="102">
        <f>E91*D95</f>
        <v>409</v>
      </c>
      <c r="F95" s="102">
        <f>F91*D95</f>
        <v>409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730.718954248366</v>
      </c>
      <c r="D97" s="101">
        <f>C97/C91</f>
        <v>1.0218987976510586E-2</v>
      </c>
      <c r="E97" s="103"/>
      <c r="F97" s="102">
        <f>F91*D97</f>
        <v>730.718954248366</v>
      </c>
    </row>
    <row r="98" spans="2:6" x14ac:dyDescent="0.35">
      <c r="B98" s="8" t="s">
        <v>181</v>
      </c>
      <c r="C98" s="104">
        <f>C44</f>
        <v>3.75</v>
      </c>
      <c r="D98" s="105"/>
      <c r="E98" s="106">
        <f>F98</f>
        <v>3.75</v>
      </c>
      <c r="F98" s="106">
        <f>C98</f>
        <v>3.75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0016.HK : 新鴻基地產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0016.HK</v>
      </c>
      <c r="D3" s="313"/>
      <c r="E3" s="3"/>
      <c r="F3" s="9" t="s">
        <v>1</v>
      </c>
      <c r="G3" s="10">
        <v>70.3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新鴻基地產</v>
      </c>
      <c r="D4" s="315"/>
      <c r="E4" s="3"/>
      <c r="F4" s="9" t="s">
        <v>3</v>
      </c>
      <c r="G4" s="318">
        <f>Inputs!C10</f>
        <v>2897780274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45625</v>
      </c>
      <c r="D5" s="317"/>
      <c r="E5" s="16"/>
      <c r="F5" s="12" t="s">
        <v>92</v>
      </c>
      <c r="G5" s="321">
        <f>G3*G4/1000000</f>
        <v>203713.95326219997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3.9977915643952019E-2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0.33920623508169434</v>
      </c>
      <c r="F21" s="3"/>
      <c r="G21" s="34"/>
    </row>
    <row r="22" spans="1:8" ht="15.75" customHeight="1" x14ac:dyDescent="0.35">
      <c r="B22" s="35" t="s">
        <v>245</v>
      </c>
      <c r="C22" s="36">
        <f>Data!C50</f>
        <v>8.7405603757025482E-2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1.3483947210973155</v>
      </c>
      <c r="F23" s="39" t="s">
        <v>164</v>
      </c>
      <c r="G23" s="40">
        <f>G3/(Data!C36*Data!C4/Common_Shares*Exchange_Rate)</f>
        <v>0.3333719866630882</v>
      </c>
    </row>
    <row r="24" spans="1:8" ht="15.75" customHeight="1" x14ac:dyDescent="0.35">
      <c r="B24" s="41" t="s">
        <v>240</v>
      </c>
      <c r="C24" s="42">
        <f>Fin_Analysis!I81</f>
        <v>5.6582664391799292E-2</v>
      </c>
      <c r="F24" s="39" t="s">
        <v>225</v>
      </c>
      <c r="G24" s="43">
        <f>G3/(Fin_Analysis!H86*G7)</f>
        <v>13.448937858358779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0.71740422430790074</v>
      </c>
    </row>
    <row r="26" spans="1:8" ht="15.75" customHeight="1" x14ac:dyDescent="0.35">
      <c r="B26" s="45" t="s">
        <v>242</v>
      </c>
      <c r="C26" s="44">
        <f>Fin_Analysis!I80+Fin_Analysis!I82</f>
        <v>5.719799737085E-3</v>
      </c>
      <c r="F26" s="46" t="s">
        <v>167</v>
      </c>
      <c r="G26" s="47">
        <f>Fin_Analysis!H88*Exchange_Rate/G3</f>
        <v>5.3342816500711238E-2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30.582665255258952</v>
      </c>
      <c r="D29" s="54">
        <f>G29*(1+G20)</f>
        <v>67.15658217476124</v>
      </c>
      <c r="E29" s="3"/>
      <c r="F29" s="55">
        <f>IF(Fin_Analysis!C108="Profit",Fin_Analysis!F100,IF(Fin_Analysis!C108="Dividend",Fin_Analysis!F103,Fin_Analysis!F106))</f>
        <v>35.979606182657591</v>
      </c>
      <c r="G29" s="320">
        <f>IF(Fin_Analysis!C108="Profit",Fin_Analysis!I100,IF(Fin_Analysis!C108="Dividend",Fin_Analysis!I103,Fin_Analysis!I106))</f>
        <v>58.397027978053259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disagree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45473</v>
      </c>
      <c r="E3" s="138" t="s">
        <v>174</v>
      </c>
      <c r="F3" s="139" t="str">
        <f>H14</f>
        <v/>
      </c>
      <c r="G3" s="139">
        <f>C14</f>
        <v>24255.281045751635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45473</v>
      </c>
      <c r="D5" s="287">
        <f>EOMONTH(EDATE(C5,-12),0)</f>
        <v>45107</v>
      </c>
      <c r="E5" s="287">
        <f t="shared" ref="E5:M5" si="0">EOMONTH(EDATE(D5,-12),0)</f>
        <v>44742</v>
      </c>
      <c r="F5" s="287">
        <f t="shared" si="0"/>
        <v>44377</v>
      </c>
      <c r="G5" s="287">
        <f t="shared" si="0"/>
        <v>44012</v>
      </c>
      <c r="H5" s="287">
        <f t="shared" si="0"/>
        <v>43646</v>
      </c>
      <c r="I5" s="287">
        <f t="shared" si="0"/>
        <v>43281</v>
      </c>
      <c r="J5" s="287">
        <f t="shared" si="0"/>
        <v>42916</v>
      </c>
      <c r="K5" s="287">
        <f t="shared" si="0"/>
        <v>42551</v>
      </c>
      <c r="L5" s="287">
        <f t="shared" si="0"/>
        <v>42185</v>
      </c>
      <c r="M5" s="287">
        <f t="shared" si="0"/>
        <v>41820</v>
      </c>
    </row>
    <row r="6" spans="1:14" ht="15.75" customHeight="1" x14ac:dyDescent="0.35">
      <c r="A6" s="135"/>
      <c r="B6" s="263" t="s">
        <v>12</v>
      </c>
      <c r="C6" s="142">
        <f>IF(Inputs!C25=""," ",Inputs!C25)</f>
        <v>71506</v>
      </c>
      <c r="D6" s="142">
        <f>IF(Inputs!D25="","",Inputs!D25)</f>
        <v>71195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4.3682842896271001E-3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39292</v>
      </c>
      <c r="D8" s="144">
        <f>IF(Inputs!D26="","",Inputs!D26)</f>
        <v>36737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32214</v>
      </c>
      <c r="D9" s="273">
        <f t="shared" si="2"/>
        <v>34458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7228</v>
      </c>
      <c r="D10" s="144">
        <f>IF(Inputs!D27="","",Inputs!D27)</f>
        <v>7324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730.718954248366</v>
      </c>
      <c r="D12" s="144">
        <f>IF(Inputs!D31="","",MAX(Inputs!D31,0)/(1-Fin_Analysis!$I$84))</f>
        <v>873.20261437908493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0.33920623508169434</v>
      </c>
      <c r="D13" s="292">
        <f t="shared" si="3"/>
        <v>0.36885732685751688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24255.281045751635</v>
      </c>
      <c r="D14" s="294">
        <f t="shared" ref="D14:M14" si="4">IF(D6="","",D9-D10-MAX(D11,0)-MAX(D12,0))</f>
        <v>26260.797385620914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-7.6369209602424257E-2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-25592.797385620914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668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-2259</v>
      </c>
      <c r="D18" s="144">
        <f>IF(Inputs!D32="","",Inputs!D32)</f>
        <v>-1565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4046</v>
      </c>
      <c r="D19" s="144">
        <f>IF(Inputs!D29="","",Inputs!D29)</f>
        <v>3053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6.7197158280424024E-2</v>
      </c>
      <c r="D20" s="227">
        <f t="shared" si="7"/>
        <v>6.6928857363578897E-2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4805</v>
      </c>
      <c r="D21" s="144">
        <f>IF(Inputs!D33="","",Inputs!D33)</f>
        <v>4765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6.1477358543339022E-2</v>
      </c>
      <c r="D22" s="227">
        <f t="shared" si="8"/>
        <v>5.9863754477140249E-2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4396</v>
      </c>
      <c r="D23" s="144">
        <f>IF(Inputs!D34="","",Inputs!D34)</f>
        <v>4262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19800.281045751635</v>
      </c>
      <c r="D24" s="309">
        <f t="shared" si="9"/>
        <v>22704.797385620914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0.21183138477889971</v>
      </c>
      <c r="D25" s="143">
        <f t="shared" si="10"/>
        <v>0.2439661493082379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15147.215000000002</v>
      </c>
      <c r="D26" s="276">
        <f>IF(D6="","",D24*(1-Fin_Analysis!$I$84))</f>
        <v>17369.169999999998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-0.12792522613343046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45107</v>
      </c>
      <c r="E28" s="287">
        <f t="shared" ref="E28" si="12">EOMONTH(EDATE(D28,-12),0)</f>
        <v>44742</v>
      </c>
      <c r="F28" s="287">
        <f t="shared" ref="F28" si="13">EOMONTH(EDATE(E28,-12),0)</f>
        <v>44377</v>
      </c>
      <c r="G28" s="287">
        <f t="shared" ref="G28" si="14">EOMONTH(EDATE(F28,-12),0)</f>
        <v>44012</v>
      </c>
      <c r="H28" s="287">
        <f t="shared" ref="H28" si="15">EOMONTH(EDATE(G28,-12),0)</f>
        <v>43646</v>
      </c>
      <c r="I28" s="287">
        <f t="shared" ref="I28" si="16">EOMONTH(EDATE(H28,-12),0)</f>
        <v>43281</v>
      </c>
      <c r="J28" s="287">
        <f t="shared" ref="J28" si="17">EOMONTH(EDATE(I28,-12),0)</f>
        <v>42916</v>
      </c>
      <c r="K28" s="287">
        <f t="shared" ref="K28" si="18">EOMONTH(EDATE(J28,-12),0)</f>
        <v>42551</v>
      </c>
      <c r="L28" s="287">
        <f t="shared" ref="L28" si="19">EOMONTH(EDATE(K28,-12),0)</f>
        <v>42185</v>
      </c>
      <c r="M28" s="287">
        <f t="shared" ref="M28" si="20">EOMONTH(EDATE(L28,-12),0)</f>
        <v>41820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818094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17115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502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207023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10498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116589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127087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611071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4354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698389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3.4730330869689581E-2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0.54949235029228316</v>
      </c>
      <c r="D42" s="150">
        <f t="shared" si="35"/>
        <v>0.51600533745347288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0.10108242664951193</v>
      </c>
      <c r="D43" s="146">
        <f t="shared" si="36"/>
        <v>0.10287239272420816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5.6582664391799292E-2</v>
      </c>
      <c r="D45" s="146">
        <f t="shared" si="38"/>
        <v>4.2882224875342372E-2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1.0218987976510586E-2</v>
      </c>
      <c r="D46" s="146">
        <f t="shared" si="39"/>
        <v>1.2264942964802092E-2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5.719799737085E-3</v>
      </c>
      <c r="D47" s="146">
        <f t="shared" si="40"/>
        <v>7.0651028864386544E-3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0.27690377095281005</v>
      </c>
      <c r="D48" s="281">
        <f t="shared" si="41"/>
        <v>0.31890999909573586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8.7405603757025482E-2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0.23935054401029285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7.0203898973512716E-3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-7.2636655948553051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0.74162260082582199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0.15580099495425681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0.20434053388692244</v>
      </c>
      <c r="D57" s="146">
        <f t="shared" si="48"/>
        <v>0.13446497443458727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3.9977915643952013E-2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3.2635118260657993E-2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611071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606717</v>
      </c>
      <c r="K3" s="75"/>
    </row>
    <row r="4" spans="1:11" ht="15" customHeight="1" x14ac:dyDescent="0.35">
      <c r="B4" s="9" t="s">
        <v>22</v>
      </c>
      <c r="C4" s="3"/>
      <c r="D4" s="144">
        <f>Inputs!C42</f>
        <v>4354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4.0099174353350966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40428.799999999988</v>
      </c>
      <c r="E6" s="170">
        <f>1-D6/D3</f>
        <v>0.93383943927956004</v>
      </c>
      <c r="F6" s="3"/>
      <c r="G6" s="3"/>
      <c r="H6" s="2" t="s">
        <v>25</v>
      </c>
      <c r="I6" s="168">
        <f>(C24+C25)/I28</f>
        <v>0.54963555440882406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13.951644423403231</v>
      </c>
      <c r="E7" s="167" t="str">
        <f>Dashboard!H3</f>
        <v>HKD</v>
      </c>
      <c r="H7" s="2" t="s">
        <v>26</v>
      </c>
      <c r="I7" s="168">
        <f>C24/I28</f>
        <v>0.53757337289556861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16221</v>
      </c>
      <c r="D11" s="258">
        <f>Inputs!D48</f>
        <v>0.9</v>
      </c>
      <c r="E11" s="176">
        <f t="shared" ref="E11:E22" si="0">C11*D11</f>
        <v>14598.9</v>
      </c>
      <c r="F11" s="260"/>
      <c r="G11" s="3"/>
      <c r="H11" s="9" t="s">
        <v>32</v>
      </c>
      <c r="I11" s="175">
        <f>Inputs!C73</f>
        <v>10498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17115</v>
      </c>
      <c r="D13" s="258">
        <f>Inputs!D50</f>
        <v>0.6</v>
      </c>
      <c r="E13" s="176">
        <f t="shared" si="0"/>
        <v>10269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748</v>
      </c>
      <c r="D15" s="258">
        <f>Inputs!D52</f>
        <v>0.5</v>
      </c>
      <c r="E15" s="176">
        <f t="shared" si="0"/>
        <v>374</v>
      </c>
      <c r="F15" s="260"/>
      <c r="G15" s="3"/>
      <c r="H15" s="2" t="s">
        <v>47</v>
      </c>
      <c r="I15" s="180">
        <f>SUM(I11:I14)</f>
        <v>10498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502</v>
      </c>
      <c r="D18" s="258">
        <f>Inputs!D55</f>
        <v>0.5</v>
      </c>
      <c r="E18" s="176">
        <f t="shared" si="0"/>
        <v>251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214077</v>
      </c>
      <c r="D19" s="258">
        <f>Inputs!D56</f>
        <v>0.6</v>
      </c>
      <c r="E19" s="176">
        <f t="shared" si="0"/>
        <v>128446.2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51514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33336</v>
      </c>
      <c r="D24" s="185">
        <f>IF(E24=0,0,E24/C24)</f>
        <v>0.74597732181425491</v>
      </c>
      <c r="E24" s="176">
        <f>SUM(E11:E14)</f>
        <v>24867.9</v>
      </c>
      <c r="F24" s="186">
        <f>E24/$E$28</f>
        <v>0.16154375334141879</v>
      </c>
      <c r="G24" s="3"/>
    </row>
    <row r="25" spans="2:10" ht="15" customHeight="1" x14ac:dyDescent="0.35">
      <c r="B25" s="183" t="s">
        <v>48</v>
      </c>
      <c r="C25" s="184">
        <f>SUM(C15:C17)</f>
        <v>748</v>
      </c>
      <c r="D25" s="185">
        <f>IF(E25=0,0,E25/C25)</f>
        <v>0.5</v>
      </c>
      <c r="E25" s="176">
        <f>SUM(E15:E17)</f>
        <v>374</v>
      </c>
      <c r="F25" s="186">
        <f>E25/$E$28</f>
        <v>2.4295321981225044E-3</v>
      </c>
      <c r="G25" s="3"/>
      <c r="H25" s="183" t="s">
        <v>49</v>
      </c>
      <c r="I25" s="168">
        <f>E28/I28</f>
        <v>2.4824082435657617</v>
      </c>
    </row>
    <row r="26" spans="2:10" ht="15" customHeight="1" x14ac:dyDescent="0.35">
      <c r="B26" s="183" t="s">
        <v>50</v>
      </c>
      <c r="C26" s="184">
        <f>C18+C19+C20</f>
        <v>214579</v>
      </c>
      <c r="D26" s="185">
        <f>IF(E26=0,0,E26/C26)</f>
        <v>0.59976605352807122</v>
      </c>
      <c r="E26" s="176">
        <f>E18+E19+E20</f>
        <v>128697.2</v>
      </c>
      <c r="F26" s="186">
        <f>E26/$E$28</f>
        <v>0.83602671446045862</v>
      </c>
      <c r="G26" s="3"/>
      <c r="H26" s="183" t="s">
        <v>51</v>
      </c>
      <c r="I26" s="168">
        <f>E24/($I$28-I22)</f>
        <v>2.3688226328824538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53</v>
      </c>
      <c r="I27" s="168">
        <f>(E25+E24)/$I$28</f>
        <v>0.40704863574791977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248663</v>
      </c>
      <c r="D28" s="190">
        <f>E28/C28</f>
        <v>0.61906717123174737</v>
      </c>
      <c r="E28" s="191">
        <f>SUM(E24:E27)</f>
        <v>153939.1</v>
      </c>
      <c r="F28" s="87"/>
      <c r="G28" s="3"/>
      <c r="H28" s="188" t="s">
        <v>16</v>
      </c>
      <c r="I28" s="161">
        <f>Inputs!C77</f>
        <v>62012</v>
      </c>
      <c r="J28" s="192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116589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1681</v>
      </c>
      <c r="D32" s="258">
        <f>Inputs!D62</f>
        <v>0.5</v>
      </c>
      <c r="E32" s="176">
        <f t="shared" si="1"/>
        <v>840.5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116589</v>
      </c>
      <c r="J34" s="3"/>
    </row>
    <row r="35" spans="2:10" ht="11.65" x14ac:dyDescent="0.35">
      <c r="B35" s="9" t="s">
        <v>63</v>
      </c>
      <c r="C35" s="175">
        <f>Inputs!C65</f>
        <v>101055</v>
      </c>
      <c r="D35" s="258">
        <f>Inputs!D65</f>
        <v>0.1</v>
      </c>
      <c r="E35" s="176">
        <f t="shared" si="1"/>
        <v>10105.5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408424</v>
      </c>
      <c r="D36" s="258">
        <f>Inputs!D66</f>
        <v>0.2</v>
      </c>
      <c r="E36" s="176">
        <f t="shared" si="1"/>
        <v>81684.800000000003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50190</v>
      </c>
      <c r="D38" s="258">
        <f>Inputs!D68</f>
        <v>0.1</v>
      </c>
      <c r="E38" s="176">
        <f t="shared" si="1"/>
        <v>5019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4338</v>
      </c>
      <c r="D40" s="258">
        <f>Inputs!D70</f>
        <v>0.05</v>
      </c>
      <c r="E40" s="176">
        <f t="shared" si="1"/>
        <v>216.9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3743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28422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102736</v>
      </c>
      <c r="D45" s="185">
        <f>IF(E45=0,0,E45/C45)</f>
        <v>0.10654493069615324</v>
      </c>
      <c r="E45" s="176">
        <f>SUM(E32:E35)</f>
        <v>10946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458614</v>
      </c>
      <c r="D46" s="185">
        <f>IF(E46=0,0,E46/C46)</f>
        <v>0.18905615615746577</v>
      </c>
      <c r="E46" s="176">
        <f>E36+E37+E38+E39</f>
        <v>86703.8</v>
      </c>
      <c r="F46" s="3"/>
      <c r="G46" s="3"/>
      <c r="H46" s="183" t="s">
        <v>74</v>
      </c>
      <c r="I46" s="168">
        <f>(E44+E24)/E64</f>
        <v>0.19567619032631192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8081</v>
      </c>
      <c r="D47" s="185">
        <f>IF(E47=0,0,E47/C47)</f>
        <v>2.6840737532483606E-2</v>
      </c>
      <c r="E47" s="176">
        <f>E40+E41+E42</f>
        <v>216.9</v>
      </c>
      <c r="F47" s="3"/>
      <c r="G47" s="3"/>
      <c r="H47" s="183" t="s">
        <v>76</v>
      </c>
      <c r="I47" s="168">
        <f>(E44+E45+E24+E25)/$I$49</f>
        <v>0.17480135057457385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569431</v>
      </c>
      <c r="D48" s="195">
        <f>E48/C48</f>
        <v>0.17186753092121784</v>
      </c>
      <c r="E48" s="196">
        <f>SUM(E30:E42)</f>
        <v>97866.7</v>
      </c>
      <c r="F48" s="3"/>
      <c r="G48" s="3"/>
      <c r="H48" s="91" t="s">
        <v>78</v>
      </c>
      <c r="I48" s="197">
        <f>I49-I28</f>
        <v>145011</v>
      </c>
      <c r="J48" s="187"/>
    </row>
    <row r="49" spans="2:11" ht="15" customHeight="1" thickTop="1" x14ac:dyDescent="0.35">
      <c r="B49" s="9" t="s">
        <v>14</v>
      </c>
      <c r="C49" s="184">
        <f>Inputs!C41+Inputs!C37</f>
        <v>818094</v>
      </c>
      <c r="D49" s="170">
        <f>E49/C49</f>
        <v>0.30779568118089118</v>
      </c>
      <c r="E49" s="176">
        <f>E28+E48</f>
        <v>251805.8</v>
      </c>
      <c r="F49" s="3"/>
      <c r="G49" s="3"/>
      <c r="H49" s="9" t="s">
        <v>79</v>
      </c>
      <c r="I49" s="175">
        <f>Inputs!C37</f>
        <v>207023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4354</v>
      </c>
      <c r="D53" s="34">
        <f>IF(E53=0, 0,E53/C53)</f>
        <v>1</v>
      </c>
      <c r="E53" s="176">
        <f>IF(C53=0,0,MAX(C53,C53*Dashboard!G23))</f>
        <v>4354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127087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103484</v>
      </c>
      <c r="D61" s="170">
        <f t="shared" ref="D61:D70" si="2">IF(E61=0,0,E61/C61)</f>
        <v>0.10938889103629547</v>
      </c>
      <c r="E61" s="182">
        <f>E14+E15+(E19*G19)+(E20*G20)+E31+E32+(E35*G35)+(E36*G36)+(E37*G37)</f>
        <v>11320</v>
      </c>
      <c r="F61" s="3"/>
      <c r="G61" s="3"/>
      <c r="H61" s="2" t="s">
        <v>254</v>
      </c>
      <c r="I61" s="203">
        <f>C99*Data!$C$4/Common_Shares</f>
        <v>-34.912274373498619</v>
      </c>
      <c r="K61" s="172"/>
    </row>
    <row r="62" spans="2:11" ht="11.65" x14ac:dyDescent="0.35">
      <c r="B62" s="12" t="s">
        <v>128</v>
      </c>
      <c r="C62" s="204">
        <f>C11+C30</f>
        <v>16221</v>
      </c>
      <c r="D62" s="205">
        <f t="shared" si="2"/>
        <v>0.9</v>
      </c>
      <c r="E62" s="206">
        <f>E11+E30</f>
        <v>14598.9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119705</v>
      </c>
      <c r="D63" s="34">
        <f t="shared" si="2"/>
        <v>0.21652311933503196</v>
      </c>
      <c r="E63" s="184">
        <f>E61+E62</f>
        <v>25918.9</v>
      </c>
      <c r="F63" s="3"/>
      <c r="G63" s="3"/>
      <c r="H63" s="2" t="s">
        <v>255</v>
      </c>
      <c r="I63" s="207">
        <f>IF(I61&gt;0,FV(I62,D93,0,-I61),I61)</f>
        <v>-34.912274373498619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127087</v>
      </c>
      <c r="F64" s="3"/>
      <c r="G64" s="3"/>
      <c r="H64" s="2" t="s">
        <v>256</v>
      </c>
      <c r="I64" s="207">
        <f>IF(I61&gt;0,PV(C94,D93,0,-I63),I61)</f>
        <v>-34.912274373498619</v>
      </c>
      <c r="K64" s="172"/>
    </row>
    <row r="65" spans="1:11" ht="12" thickTop="1" x14ac:dyDescent="0.35">
      <c r="B65" s="9" t="s">
        <v>131</v>
      </c>
      <c r="C65" s="202">
        <f>C63-E64</f>
        <v>-7382</v>
      </c>
      <c r="D65" s="34">
        <f t="shared" si="2"/>
        <v>13.704700623137361</v>
      </c>
      <c r="E65" s="184">
        <f>E63-E64</f>
        <v>-101168.1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698389</v>
      </c>
      <c r="D68" s="34">
        <f t="shared" si="2"/>
        <v>0.32343994535996412</v>
      </c>
      <c r="E68" s="202">
        <f>E49-E63</f>
        <v>225886.9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79936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618453</v>
      </c>
      <c r="D70" s="34">
        <f t="shared" si="2"/>
        <v>0.2359935193135129</v>
      </c>
      <c r="E70" s="202">
        <f>E68-E69</f>
        <v>145950.9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45473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71506</v>
      </c>
      <c r="D74" s="98"/>
      <c r="E74" s="256">
        <f>Inputs!E91</f>
        <v>71506</v>
      </c>
      <c r="F74" s="98"/>
      <c r="H74" s="256">
        <f>Inputs!F91</f>
        <v>71506</v>
      </c>
      <c r="I74" s="98"/>
      <c r="K74" s="75"/>
    </row>
    <row r="75" spans="1:11" ht="15" customHeight="1" x14ac:dyDescent="0.35">
      <c r="B75" s="100" t="s">
        <v>98</v>
      </c>
      <c r="C75" s="97">
        <f>Data!C8</f>
        <v>39292</v>
      </c>
      <c r="D75" s="101">
        <f>C75/$C$74</f>
        <v>0.54949235029228316</v>
      </c>
      <c r="E75" s="256">
        <f>Inputs!E92</f>
        <v>39292</v>
      </c>
      <c r="F75" s="211">
        <f>E75/E74</f>
        <v>0.54949235029228316</v>
      </c>
      <c r="H75" s="256">
        <f>Inputs!F92</f>
        <v>39292</v>
      </c>
      <c r="I75" s="211">
        <f>H75/$H$74</f>
        <v>0.54949235029228316</v>
      </c>
      <c r="K75" s="75"/>
    </row>
    <row r="76" spans="1:11" ht="15" customHeight="1" x14ac:dyDescent="0.35">
      <c r="B76" s="12" t="s">
        <v>88</v>
      </c>
      <c r="C76" s="145">
        <f>C74-C75</f>
        <v>32214</v>
      </c>
      <c r="D76" s="212"/>
      <c r="E76" s="213">
        <f>E74-E75</f>
        <v>32214</v>
      </c>
      <c r="F76" s="212"/>
      <c r="H76" s="213">
        <f>H74-H75</f>
        <v>32214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7228</v>
      </c>
      <c r="D77" s="101">
        <f>C77/$C$74</f>
        <v>0.10108242664951193</v>
      </c>
      <c r="E77" s="256">
        <f>Inputs!E93</f>
        <v>7228</v>
      </c>
      <c r="F77" s="211">
        <f>E77/E74</f>
        <v>0.10108242664951193</v>
      </c>
      <c r="H77" s="256">
        <f>Inputs!F93</f>
        <v>7228</v>
      </c>
      <c r="I77" s="211">
        <f>H77/$H$74</f>
        <v>0.10108242664951193</v>
      </c>
      <c r="K77" s="75"/>
    </row>
    <row r="78" spans="1:11" ht="15" customHeight="1" x14ac:dyDescent="0.35">
      <c r="B78" s="93" t="s">
        <v>151</v>
      </c>
      <c r="C78" s="97">
        <f>MAX(Data!C12,0)</f>
        <v>730.718954248366</v>
      </c>
      <c r="D78" s="101">
        <f>C78/$C$74</f>
        <v>1.0218987976510586E-2</v>
      </c>
      <c r="E78" s="214">
        <f>E74*F78</f>
        <v>730.718954248366</v>
      </c>
      <c r="F78" s="211">
        <f>I78</f>
        <v>1.0218987976510586E-2</v>
      </c>
      <c r="H78" s="256">
        <f>Inputs!F97</f>
        <v>730.718954248366</v>
      </c>
      <c r="I78" s="211">
        <f>H78/$H$74</f>
        <v>1.0218987976510586E-2</v>
      </c>
      <c r="K78" s="75"/>
    </row>
    <row r="79" spans="1:11" ht="15" customHeight="1" x14ac:dyDescent="0.35">
      <c r="B79" s="215" t="s">
        <v>204</v>
      </c>
      <c r="C79" s="216">
        <f>C76-C77-C78</f>
        <v>24255.281045751635</v>
      </c>
      <c r="D79" s="217">
        <f>C79/C74</f>
        <v>0.33920623508169434</v>
      </c>
      <c r="E79" s="218">
        <f>E76-E77-E78</f>
        <v>24255.281045751635</v>
      </c>
      <c r="F79" s="217">
        <f>E79/E74</f>
        <v>0.33920623508169434</v>
      </c>
      <c r="G79" s="219"/>
      <c r="H79" s="218">
        <f>H76-H77-H78</f>
        <v>24255.281045751635</v>
      </c>
      <c r="I79" s="217">
        <f>H79/H74</f>
        <v>0.33920623508169434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4046</v>
      </c>
      <c r="D81" s="101">
        <f>C81/$C$74</f>
        <v>5.6582664391799292E-2</v>
      </c>
      <c r="E81" s="214">
        <f>E74*F81</f>
        <v>4046</v>
      </c>
      <c r="F81" s="211">
        <f>I81</f>
        <v>5.6582664391799292E-2</v>
      </c>
      <c r="H81" s="256">
        <f>Inputs!F94</f>
        <v>4046</v>
      </c>
      <c r="I81" s="211">
        <f>H81/$H$74</f>
        <v>5.6582664391799292E-2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409</v>
      </c>
      <c r="D82" s="101">
        <f>C82/$C$74</f>
        <v>5.719799737085E-3</v>
      </c>
      <c r="E82" s="256">
        <f>Inputs!E95</f>
        <v>409</v>
      </c>
      <c r="F82" s="211">
        <f>E82/E74</f>
        <v>5.719799737085E-3</v>
      </c>
      <c r="H82" s="256">
        <f>Inputs!F95</f>
        <v>409</v>
      </c>
      <c r="I82" s="211">
        <f>H82/$H$74</f>
        <v>5.719799737085E-3</v>
      </c>
      <c r="K82" s="75"/>
    </row>
    <row r="83" spans="1:11" ht="15" customHeight="1" thickBot="1" x14ac:dyDescent="0.4">
      <c r="B83" s="221" t="s">
        <v>114</v>
      </c>
      <c r="C83" s="222">
        <f>C79-C81-C82-C80</f>
        <v>19800.281045751635</v>
      </c>
      <c r="D83" s="223">
        <f>C83/$C$74</f>
        <v>0.27690377095281005</v>
      </c>
      <c r="E83" s="224">
        <f>E79-E81-E82-E80</f>
        <v>19800.281045751635</v>
      </c>
      <c r="F83" s="223">
        <f>E83/E74</f>
        <v>0.27690377095281005</v>
      </c>
      <c r="H83" s="224">
        <f>H79-H81-H82-H80</f>
        <v>19800.281045751635</v>
      </c>
      <c r="I83" s="223">
        <f>H83/$H$74</f>
        <v>0.27690377095281005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147</v>
      </c>
      <c r="C85" s="216">
        <f>C83*(1-I84)</f>
        <v>15147.215000000002</v>
      </c>
      <c r="D85" s="217">
        <f>C85/$C$74</f>
        <v>0.21183138477889971</v>
      </c>
      <c r="E85" s="229">
        <f>E83*(1-F84)</f>
        <v>15147.215000000002</v>
      </c>
      <c r="F85" s="217">
        <f>E85/E74</f>
        <v>0.21183138477889971</v>
      </c>
      <c r="G85" s="219"/>
      <c r="H85" s="229">
        <f>H83*(1-I84)</f>
        <v>15147.215000000002</v>
      </c>
      <c r="I85" s="217">
        <f>H85/$H$74</f>
        <v>0.21183138477889971</v>
      </c>
      <c r="K85" s="75"/>
    </row>
    <row r="86" spans="1:11" ht="15" customHeight="1" x14ac:dyDescent="0.35">
      <c r="B86" s="3" t="s">
        <v>144</v>
      </c>
      <c r="C86" s="230">
        <f>C85*Data!C4/Common_Shares</f>
        <v>5.2271785876612675</v>
      </c>
      <c r="D86" s="98"/>
      <c r="E86" s="231">
        <f>E85*Data!C4/Common_Shares</f>
        <v>5.2271785876612675</v>
      </c>
      <c r="F86" s="98"/>
      <c r="H86" s="231">
        <f>H85*Data!C4/Common_Shares</f>
        <v>5.2271785876612675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7.4355314191483182E-2</v>
      </c>
      <c r="D87" s="98"/>
      <c r="E87" s="233">
        <f>E86*Exchange_Rate/Dashboard!G3</f>
        <v>7.4355314191483182E-2</v>
      </c>
      <c r="F87" s="98"/>
      <c r="H87" s="233">
        <f>H86*Exchange_Rate/Dashboard!G3</f>
        <v>7.4355314191483182E-2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3.75</v>
      </c>
      <c r="D88" s="235">
        <f>C88/C86</f>
        <v>0.71740422430790074</v>
      </c>
      <c r="E88" s="255">
        <f>Inputs!E98</f>
        <v>3.75</v>
      </c>
      <c r="F88" s="235">
        <f>E88/E86</f>
        <v>0.71740422430790074</v>
      </c>
      <c r="H88" s="255">
        <f>Inputs!F98</f>
        <v>3.75</v>
      </c>
      <c r="I88" s="235">
        <f>H88/H86</f>
        <v>0.71740422430790074</v>
      </c>
      <c r="K88" s="75"/>
    </row>
    <row r="89" spans="1:11" ht="15" customHeight="1" x14ac:dyDescent="0.35">
      <c r="B89" s="3" t="s">
        <v>194</v>
      </c>
      <c r="C89" s="232">
        <f>C88*Exchange_Rate/Dashboard!G3</f>
        <v>5.3342816500711238E-2</v>
      </c>
      <c r="D89" s="98"/>
      <c r="E89" s="232">
        <f>E88*Exchange_Rate/Dashboard!G3</f>
        <v>5.3342816500711238E-2</v>
      </c>
      <c r="F89" s="98"/>
      <c r="H89" s="232">
        <f>H88*Exchange_Rate/Dashboard!G3</f>
        <v>5.3342816500711238E-2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126.61827544432305</v>
      </c>
      <c r="H93" s="3" t="s">
        <v>183</v>
      </c>
      <c r="I93" s="237">
        <f>FV(H87,D93,0,-(H86/(C93-D94)))*Exchange_Rate</f>
        <v>126.61827544432305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83.935857110520146</v>
      </c>
      <c r="H94" s="3" t="s">
        <v>184</v>
      </c>
      <c r="I94" s="237">
        <f>FV(H89,D93,0,-(H88/(C93-D94)))*Exchange_Rate</f>
        <v>83.935857110520146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209783.09306239357</v>
      </c>
      <c r="D97" s="244"/>
      <c r="E97" s="245">
        <f>PV(C94,D93,0,-F93)</f>
        <v>72.394409936684383</v>
      </c>
      <c r="F97" s="244"/>
      <c r="H97" s="245">
        <f>PV(C94,D93,0,-I93)</f>
        <v>72.394409936684383</v>
      </c>
      <c r="I97" s="245">
        <f>PV(C93,D93,0,-I93)</f>
        <v>94.811831732080051</v>
      </c>
      <c r="K97" s="75"/>
    </row>
    <row r="98" spans="2:11" ht="15" customHeight="1" x14ac:dyDescent="0.35">
      <c r="B98" s="18" t="s">
        <v>133</v>
      </c>
      <c r="C98" s="243">
        <f>-E53*Exchange_Rate</f>
        <v>-4354</v>
      </c>
      <c r="D98" s="244"/>
      <c r="E98" s="244"/>
      <c r="F98" s="244"/>
      <c r="H98" s="245">
        <f>C98*Data!$C$4/Common_Shares</f>
        <v>-1.5025293805281801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-101168.1</v>
      </c>
      <c r="D99" s="248"/>
      <c r="E99" s="249">
        <f>IF(H99&gt;0,I64,H99)</f>
        <v>-34.912274373498619</v>
      </c>
      <c r="F99" s="248"/>
      <c r="H99" s="249">
        <f>I64</f>
        <v>-34.912274373498619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30.582665255258952</v>
      </c>
      <c r="E100" s="251">
        <f>MAX(E97+H98+E99,0)</f>
        <v>35.979606182657591</v>
      </c>
      <c r="F100" s="251">
        <f>(E100+H100)/2</f>
        <v>35.979606182657591</v>
      </c>
      <c r="H100" s="251">
        <f>MAX(H97+H98+H99,0)</f>
        <v>35.979606182657591</v>
      </c>
      <c r="I100" s="251">
        <f>MAX(I97+H98+H99,0)</f>
        <v>58.397027978053259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40.792008915887038</v>
      </c>
      <c r="E103" s="245">
        <f>PV(C94,D93,0,-F94)</f>
        <v>47.990598724572983</v>
      </c>
      <c r="F103" s="251">
        <f>(E103+H103)/2</f>
        <v>47.990598724572983</v>
      </c>
      <c r="H103" s="245">
        <f>PV(C94,D93,0,-I94)</f>
        <v>47.990598724572983</v>
      </c>
      <c r="I103" s="251">
        <f>PV(C93,D93,0,-I94)</f>
        <v>62.851214271591587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35.687337085572992</v>
      </c>
      <c r="E106" s="245">
        <f>(E100+E103)/2</f>
        <v>41.985102453615283</v>
      </c>
      <c r="F106" s="251">
        <f>(F100+F103)/2</f>
        <v>41.985102453615283</v>
      </c>
      <c r="H106" s="245">
        <f>(H100+H103)/2</f>
        <v>41.985102453615283</v>
      </c>
      <c r="I106" s="245">
        <f>(I100+I103)/2</f>
        <v>60.624121124822423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