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84CEABE-C85C-45D8-A88C-794EAA0E8DF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6" i="4"/>
  <c r="E95" i="4"/>
  <c r="F94" i="4"/>
  <c r="F93" i="4"/>
  <c r="E93" i="4"/>
  <c r="F91" i="4"/>
  <c r="F92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44" i="4"/>
  <c r="F95" i="4" l="1"/>
  <c r="F97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<sst xmlns="http://schemas.openxmlformats.org/spreadsheetml/2006/main" count="405" uniqueCount="288">
  <si>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</si>
  <si>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</si>
  <si>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</si>
  <si>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</si>
  <si>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</si>
  <si>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</si>
  <si>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</si>
  <si>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</si>
  <si>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</si>
  <si>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</si>
  <si>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</si>
  <si>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</si>
  <si>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</si>
  <si>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</si>
  <si>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</si>
  <si>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</si>
  <si>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</si>
  <si>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</si>
  <si>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</si>
  <si>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</si>
  <si>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</si>
  <si>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</si>
  <si>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</si>
  <si>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</si>
  <si>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</si>
  <si>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</si>
  <si>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</si>
  <si>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</si>
  <si>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</si>
  <si>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</si>
  <si>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</si>
  <si>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</si>
  <si>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</si>
  <si>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</si>
  <si>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</si>
  <si>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</si>
  <si>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</si>
  <si>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</si>
  <si>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</si>
  <si>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</si>
  <si>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</si>
  <si>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</si>
  <si>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</si>
  <si>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</si>
  <si>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</si>
  <si>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</si>
  <si>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</si>
  <si>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</si>
  <si>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</si>
  <si>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</si>
  <si>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</si>
  <si>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</si>
  <si>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</si>
  <si>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</si>
  <si>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</si>
  <si>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</si>
  <si>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</si>
  <si>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</si>
  <si>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</si>
  <si>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</si>
  <si>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</si>
  <si>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</si>
  <si>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</si>
  <si>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</si>
  <si>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</si>
  <si>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</si>
  <si>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</si>
  <si>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</si>
  <si>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</si>
  <si>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</si>
  <si>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</si>
  <si>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</si>
  <si>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</si>
  <si>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</si>
  <si>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</si>
  <si>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</si>
  <si>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</si>
  <si>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</si>
  <si>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</si>
  <si>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</si>
  <si>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</si>
  <si>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</si>
  <si>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</si>
  <si>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</si>
  <si>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</si>
  <si>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</si>
  <si>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</si>
  <si>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</si>
  <si>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</si>
  <si>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</si>
  <si>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</si>
  <si>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</si>
  <si>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</si>
  <si>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</si>
  <si>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</si>
  <si>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</si>
  <si>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</si>
  <si>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</si>
  <si>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</si>
  <si>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</si>
  <si>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</si>
  <si>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</si>
  <si>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</si>
  <si>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</si>
  <si>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</si>
  <si>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</si>
  <si>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</si>
  <si>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</si>
  <si>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</si>
  <si>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</si>
  <si>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</si>
  <si>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</si>
  <si>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</si>
  <si>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</si>
  <si>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</si>
  <si>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</si>
  <si>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</si>
  <si>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</si>
  <si>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</si>
  <si>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</si>
  <si>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</si>
  <si>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</si>
  <si>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</si>
  <si>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</si>
  <si>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</si>
  <si>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</si>
  <si>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</si>
  <si>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</si>
  <si>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</si>
  <si>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</si>
  <si>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</si>
  <si>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</si>
  <si>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</si>
  <si>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</si>
  <si>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</si>
  <si>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</si>
  <si>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</si>
  <si>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</si>
  <si>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</si>
  <si>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</si>
  <si>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</si>
  <si>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</si>
  <si>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</si>
  <si>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</si>
  <si>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</si>
  <si>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</si>
  <si>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</si>
  <si>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</si>
  <si>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</si>
  <si>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</si>
  <si>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</si>
  <si>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</si>
  <si>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</si>
  <si>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</si>
  <si>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</si>
  <si>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</si>
  <si>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</si>
  <si>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</si>
  <si>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</si>
  <si>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</si>
  <si>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</si>
  <si>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</si>
  <si>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</si>
  <si>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</si>
  <si>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</si>
  <si>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</si>
  <si>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</si>
  <si>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</si>
  <si>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</si>
  <si>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</si>
  <si>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</si>
  <si>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</si>
  <si>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</si>
  <si>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</si>
  <si>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</si>
  <si>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</si>
  <si>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</si>
  <si>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</si>
  <si>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</si>
  <si>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</si>
  <si>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</si>
  <si>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</si>
  <si>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</si>
  <si>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</si>
  <si>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</si>
  <si>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</si>
  <si>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</si>
  <si>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</si>
  <si>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</si>
  <si>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</si>
  <si>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</si>
  <si>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</si>
  <si>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</si>
  <si>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</si>
  <si>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</si>
  <si>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</si>
  <si>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</si>
  <si>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</si>
  <si>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</si>
  <si>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</si>
  <si>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</si>
  <si>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</si>
  <si>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</si>
  <si>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</si>
  <si>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</si>
  <si>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</si>
  <si>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</si>
  <si>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</si>
  <si>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</si>
  <si>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</si>
  <si>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</si>
  <si>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</si>
  <si>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</si>
  <si>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</si>
  <si>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</si>
  <si>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</si>
  <si>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</si>
  <si>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</si>
  <si>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</si>
  <si>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</si>
  <si>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</si>
  <si>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</si>
  <si>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</si>
  <si>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</si>
  <si>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</si>
  <si>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</si>
  <si>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</si>
  <si>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</si>
  <si>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</si>
  <si>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</si>
  <si>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</si>
  <si>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</si>
  <si>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</si>
  <si>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</si>
  <si>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</si>
  <si>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</si>
  <si>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</si>
  <si>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</si>
  <si>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</si>
  <si>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</si>
  <si>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</si>
  <si>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</si>
  <si>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</si>
  <si>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</si>
  <si>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</si>
  <si>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</si>
  <si>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</si>
  <si>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</si>
  <si>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</si>
  <si>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</si>
  <si>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</si>
  <si>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</si>
  <si>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</si>
  <si>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</si>
  <si>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</si>
  <si>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</si>
  <si>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</si>
  <si>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</si>
  <si>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</si>
  <si>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</si>
  <si>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</si>
  <si>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</si>
  <si>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</si>
  <si>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</si>
  <si>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</si>
  <si>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</si>
  <si>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</si>
  <si>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</si>
  <si>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</si>
  <si>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</si>
  <si>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</si>
  <si>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</si>
  <si>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</si>
  <si>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</si>
  <si>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</si>
  <si>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</si>
  <si>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</si>
  <si>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</si>
  <si>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</si>
  <si>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</si>
  <si>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</si>
  <si>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</si>
  <si>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</si>
  <si>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0027.HK</t>
  </si>
  <si>
    <t>銀河娛樂</t>
  </si>
  <si>
    <t>C0011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</si>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</sst>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283</v>
      </c>
      <c r="D4" s="66"/>
    </row>
    <row r="5" spans="1:5" x14ac:dyDescent="0.35">
      <c r="B5" s="46" t="s">
        <v>169</v>
      </c>
      <c r="C5" s="67" t="s">
        <v>284</v>
      </c>
    </row>
    <row r="6" spans="1:5" x14ac:dyDescent="0.35">
      <c r="B6" s="46" t="s">
        <v>269</v>
      </c>
      <c r="C6" s="68">
        <v>45603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64</v>
      </c>
    </row>
    <row r="9" spans="1:5" x14ac:dyDescent="0.35">
      <c r="B9" s="39" t="s">
        <v>190</v>
      </c>
      <c r="C9" s="119" t="s">
        <v>285</v>
      </c>
    </row>
    <row r="10" spans="1:5" x14ac:dyDescent="0.35">
      <c r="B10" s="39" t="s">
        <v>191</v>
      </c>
      <c r="C10" s="70">
        <v>4373586962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0.23499999999999999</v>
      </c>
      <c r="D16" s="75"/>
      <c r="E16" s="25" t="s">
        <v>252</v>
      </c>
    </row>
    <row r="17" spans="2:13" x14ac:dyDescent="0.35">
      <c r="B17" s="56" t="s">
        <v>197</v>
      </c>
      <c r="C17" s="121" t="s">
        <v>286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286</v>
      </c>
      <c r="D19" s="75"/>
    </row>
    <row r="20" spans="2:13" x14ac:dyDescent="0.35">
      <c r="B20" s="57" t="s">
        <v>200</v>
      </c>
      <c r="C20" s="121" t="s">
        <v>286</v>
      </c>
      <c r="D20" s="75"/>
    </row>
    <row r="21" spans="2:13" x14ac:dyDescent="0.35">
      <c r="B21" s="2" t="s">
        <v>203</v>
      </c>
      <c r="C21" s="121" t="s">
        <v>215</v>
      </c>
      <c r="D21" s="75"/>
    </row>
    <row r="22" spans="2:13" ht="69.75" x14ac:dyDescent="0.35">
      <c r="B22" s="59" t="s">
        <v>202</v>
      </c>
      <c r="C22" s="122" t="s">
        <v>287</v>
      </c>
      <c r="D22" s="75"/>
    </row>
    <row r="24" spans="2:13" x14ac:dyDescent="0.35">
      <c r="B24" s="76" t="s">
        <v>279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35684253</v>
      </c>
      <c r="D25" s="77">
        <v>11473793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16868997</v>
      </c>
      <c r="D26" s="78">
        <v>6522891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12529703</v>
      </c>
      <c r="D27" s="78">
        <v>8392476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>
        <v>-14407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46020</v>
      </c>
      <c r="D31" s="78">
        <v>-14407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0.5+0.3</f>
        <v>0.8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2.5117739403453691E-2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/>
    </row>
    <row r="83" spans="2:8" hidden="1" x14ac:dyDescent="0.35">
      <c r="B83" s="300" t="s">
        <v>247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275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35684253</v>
      </c>
      <c r="D91" s="98"/>
      <c r="E91" s="99">
        <f>C91</f>
        <v>35684253</v>
      </c>
      <c r="F91" s="99">
        <f>C91</f>
        <v>35684253</v>
      </c>
    </row>
    <row r="92" spans="2:8" x14ac:dyDescent="0.35">
      <c r="B92" s="100" t="s">
        <v>98</v>
      </c>
      <c r="C92" s="97">
        <f>C26</f>
        <v>16868997</v>
      </c>
      <c r="D92" s="101">
        <f>C92/C91</f>
        <v>0.47272944175123971</v>
      </c>
      <c r="E92" s="102">
        <f>E91*D92</f>
        <v>16868997</v>
      </c>
      <c r="F92" s="102">
        <f>F91*D92</f>
        <v>16868997</v>
      </c>
    </row>
    <row r="93" spans="2:8" x14ac:dyDescent="0.35">
      <c r="B93" s="100" t="s">
        <v>217</v>
      </c>
      <c r="C93" s="97">
        <f>C27+C28</f>
        <v>12529703</v>
      </c>
      <c r="D93" s="101">
        <f>C93/C91</f>
        <v>0.35112695227219692</v>
      </c>
      <c r="E93" s="102">
        <f>E91*D93</f>
        <v>12529703</v>
      </c>
      <c r="F93" s="102">
        <f>F91*D93</f>
        <v>12529703</v>
      </c>
    </row>
    <row r="94" spans="2:8" x14ac:dyDescent="0.35">
      <c r="B94" s="100" t="s">
        <v>223</v>
      </c>
      <c r="C94" s="97">
        <f>C29</f>
        <v>0</v>
      </c>
      <c r="D94" s="101">
        <f>C94/C91</f>
        <v>0</v>
      </c>
      <c r="E94" s="103"/>
      <c r="F94" s="102">
        <f>F91*D94</f>
        <v>0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60156.862745098035</v>
      </c>
      <c r="D97" s="101">
        <f>C97/C91</f>
        <v>1.6858097812807804E-3</v>
      </c>
      <c r="E97" s="103"/>
      <c r="F97" s="102">
        <f>F91*D97</f>
        <v>60156.862745098035</v>
      </c>
    </row>
    <row r="98" spans="2:6" x14ac:dyDescent="0.35">
      <c r="B98" s="8" t="s">
        <v>181</v>
      </c>
      <c r="C98" s="104">
        <f>C44</f>
        <v>0.8</v>
      </c>
      <c r="D98" s="105"/>
      <c r="E98" s="106">
        <f>F98</f>
        <v>0.5</v>
      </c>
      <c r="F98" s="106">
        <v>0.5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0027.HK : 銀河娛樂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168</v>
      </c>
      <c r="C3" s="312" t="str">
        <f>Inputs!C4</f>
        <v>0027.HK</v>
      </c>
      <c r="D3" s="313"/>
      <c r="E3" s="3"/>
      <c r="F3" s="9" t="s">
        <v>1</v>
      </c>
      <c r="G3" s="10">
        <v>31.85</v>
      </c>
      <c r="H3" s="11" t="s">
        <v>257</v>
      </c>
    </row>
    <row r="4" spans="1:10" ht="15.75" customHeight="1" x14ac:dyDescent="0.35">
      <c r="B4" s="12" t="s">
        <v>169</v>
      </c>
      <c r="C4" s="314" t="str">
        <f>Inputs!C5</f>
        <v>銀河娛樂</v>
      </c>
      <c r="D4" s="315"/>
      <c r="E4" s="3"/>
      <c r="F4" s="9" t="s">
        <v>3</v>
      </c>
      <c r="G4" s="318">
        <f>Inputs!C10</f>
        <v>4373586962</v>
      </c>
      <c r="H4" s="318"/>
      <c r="I4" s="14"/>
    </row>
    <row r="5" spans="1:10" ht="15.75" customHeight="1" x14ac:dyDescent="0.35">
      <c r="B5" s="9" t="s">
        <v>146</v>
      </c>
      <c r="C5" s="316">
        <f>Inputs!C6</f>
        <v>45603</v>
      </c>
      <c r="D5" s="317"/>
      <c r="E5" s="16"/>
      <c r="F5" s="12" t="s">
        <v>92</v>
      </c>
      <c r="G5" s="321">
        <f>G3*G4/1000000</f>
        <v>139298.74473970002</v>
      </c>
      <c r="H5" s="321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22" t="str">
        <f>Inputs!C11</f>
        <v>HKD</v>
      </c>
      <c r="H6" s="322"/>
      <c r="I6" s="17"/>
    </row>
    <row r="7" spans="1:10" ht="15.75" customHeight="1" x14ac:dyDescent="0.35">
      <c r="B7" s="8" t="s">
        <v>166</v>
      </c>
      <c r="C7" s="123" t="str">
        <f>Inputs!C8</f>
        <v>N</v>
      </c>
      <c r="D7" s="123" t="str">
        <f>Inputs!C9</f>
        <v>C0011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0.17445779619528262</v>
      </c>
      <c r="F21" s="3"/>
      <c r="G21" s="34"/>
    </row>
    <row r="22" spans="1:8" ht="15.75" customHeight="1" x14ac:dyDescent="0.35">
      <c r="B22" s="35" t="s">
        <v>245</v>
      </c>
      <c r="C22" s="36" t="e">
        <f>Data!C50</f>
        <v>#DIV/0!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 t="e">
        <f>1/Data!C55</f>
        <v>#DIV/0!</v>
      </c>
      <c r="F23" s="39" t="s">
        <v>164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</v>
      </c>
      <c r="F24" s="39" t="s">
        <v>225</v>
      </c>
      <c r="G24" s="43">
        <f>G3/(Fin_Analysis!H86*G7)</f>
        <v>29.249522181431722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0.45917617239296266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1.5698587127158554E-2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9" t="s">
        <v>224</v>
      </c>
      <c r="H28" s="319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11.006633563053727</v>
      </c>
      <c r="D29" s="54">
        <f>G29*(1+G20)</f>
        <v>19.50252876225964</v>
      </c>
      <c r="E29" s="3"/>
      <c r="F29" s="55">
        <f>IF(Fin_Analysis!C108="Profit",Fin_Analysis!F100,IF(Fin_Analysis!C108="Dividend",Fin_Analysis!F103,Fin_Analysis!F106))</f>
        <v>12.948980662416149</v>
      </c>
      <c r="G29" s="320">
        <f>IF(Fin_Analysis!C108="Profit",Fin_Analysis!I100,IF(Fin_Analysis!C108="Dividend",Fin_Analysis!I103,Fin_Analysis!I106))</f>
        <v>16.95872066283447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agree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6225396.1372549022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35684253</v>
      </c>
      <c r="D6" s="142">
        <f>IF(Inputs!D25="","",Inputs!D25)</f>
        <v>11473793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2.1100659563929729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16868997</v>
      </c>
      <c r="D8" s="144">
        <f>IF(Inputs!D26="","",Inputs!D26)</f>
        <v>6522891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18815256</v>
      </c>
      <c r="D9" s="273">
        <f t="shared" si="2"/>
        <v>4950902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12529703</v>
      </c>
      <c r="D10" s="144">
        <f>IF(Inputs!D27="","",Inputs!D27)</f>
        <v>8392476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60156.862745098035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0.17445779619528262</v>
      </c>
      <c r="D13" s="292">
        <f t="shared" si="3"/>
        <v>-0.29995085321828624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6225396.1372549022</v>
      </c>
      <c r="D14" s="294">
        <f t="shared" ref="D14:M14" si="4">IF(D6="","",D9-D10-MAX(D11,0)-MAX(D12,0))</f>
        <v>-3441574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 t="str">
        <f>IF(D14="","",IF(ABS(C14+D14)=ABS(C14)+ABS(D14),IF(C14&lt;0,-1,1)*(C14-D14)/D14,"Turn"))</f>
        <v>Turn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3427167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-14407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 t="str">
        <f>IF(Inputs!C29="","",Inputs!C29)</f>
        <v/>
      </c>
      <c r="D19" s="144" t="str">
        <f>IF(Inputs!D29="","",Inputs!D29)</f>
        <v/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6225396.1372549022</v>
      </c>
      <c r="D24" s="309">
        <f t="shared" si="9"/>
        <v>-3441574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0.13346021408939118</v>
      </c>
      <c r="D25" s="143">
        <f t="shared" si="10"/>
        <v>-0.22946240271198895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4762428.0449999999</v>
      </c>
      <c r="D26" s="276">
        <f>IF(D6="","",D24*(1-Fin_Analysis!$I$84))</f>
        <v>-2632804.11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 t="str">
        <f t="shared" ref="C27:M27" si="11">IF(D26="","",IF(ABS(C26+D26)=ABS(C26)+ABS(D26),IF(C26&lt;0,-1,1)*(C26-D26)/D26,"Turn"))</f>
        <v>Turn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0.47272944175123971</v>
      </c>
      <c r="D42" s="150">
        <f t="shared" si="35"/>
        <v>0.56850345827225579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0.35112695227219692</v>
      </c>
      <c r="D43" s="146">
        <f t="shared" si="36"/>
        <v>0.7314473949460305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0</v>
      </c>
      <c r="D45" s="146">
        <f t="shared" si="38"/>
        <v>0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1.6858097812807804E-3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0.17445779619528262</v>
      </c>
      <c r="D48" s="281">
        <f t="shared" si="41"/>
        <v>-0.29995085321828624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 t="str">
        <f t="shared" ref="C57:M57" si="48">IF(C24="","",IF(MAX(C19,0)&lt;=0,"-",C19/C24))</f>
        <v>-</v>
      </c>
      <c r="D57" s="146" t="str">
        <f t="shared" si="48"/>
        <v>-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0</v>
      </c>
      <c r="K3" s="75"/>
    </row>
    <row r="4" spans="1:11" ht="15" customHeight="1" x14ac:dyDescent="0.35">
      <c r="B4" s="9" t="s">
        <v>22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0</v>
      </c>
      <c r="J48" s="187"/>
    </row>
    <row r="49" spans="2:11" ht="15" customHeight="1" thickTop="1" x14ac:dyDescent="0.35">
      <c r="B49" s="9" t="s">
        <v>14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79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18">
        <f>Inputs!C84</f>
        <v>0</v>
      </c>
      <c r="E57" s="317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254</v>
      </c>
      <c r="I61" s="203">
        <f>C99*Data!$C$4/Common_Shares</f>
        <v>0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255</v>
      </c>
      <c r="I63" s="207">
        <f>IF(I61&gt;0,FV(I62,D93,0,-I61),I61)</f>
        <v>0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256</v>
      </c>
      <c r="I64" s="207">
        <f>IF(I61&gt;0,PV(C94,D93,0,-I63),I61)</f>
        <v>0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35684253</v>
      </c>
      <c r="D74" s="98"/>
      <c r="E74" s="256">
        <f>Inputs!E91</f>
        <v>35684253</v>
      </c>
      <c r="F74" s="98"/>
      <c r="H74" s="256">
        <f>Inputs!F91</f>
        <v>35684253</v>
      </c>
      <c r="I74" s="98"/>
      <c r="K74" s="75"/>
    </row>
    <row r="75" spans="1:11" ht="15" customHeight="1" x14ac:dyDescent="0.35">
      <c r="B75" s="100" t="s">
        <v>98</v>
      </c>
      <c r="C75" s="97">
        <f>Data!C8</f>
        <v>16868997</v>
      </c>
      <c r="D75" s="101">
        <f>C75/$C$74</f>
        <v>0.47272944175123971</v>
      </c>
      <c r="E75" s="256">
        <f>Inputs!E92</f>
        <v>16868997</v>
      </c>
      <c r="F75" s="211">
        <f>E75/E74</f>
        <v>0.47272944175123971</v>
      </c>
      <c r="H75" s="256">
        <f>Inputs!F92</f>
        <v>16868997</v>
      </c>
      <c r="I75" s="211">
        <f>H75/$H$74</f>
        <v>0.47272944175123971</v>
      </c>
      <c r="K75" s="75"/>
    </row>
    <row r="76" spans="1:11" ht="15" customHeight="1" x14ac:dyDescent="0.35">
      <c r="B76" s="12" t="s">
        <v>88</v>
      </c>
      <c r="C76" s="145">
        <f>C74-C75</f>
        <v>18815256</v>
      </c>
      <c r="D76" s="212"/>
      <c r="E76" s="213">
        <f>E74-E75</f>
        <v>18815256</v>
      </c>
      <c r="F76" s="212"/>
      <c r="H76" s="213">
        <f>H74-H75</f>
        <v>18815256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12529703</v>
      </c>
      <c r="D77" s="101">
        <f>C77/$C$74</f>
        <v>0.35112695227219692</v>
      </c>
      <c r="E77" s="256">
        <f>Inputs!E93</f>
        <v>12529703</v>
      </c>
      <c r="F77" s="211">
        <f>E77/E74</f>
        <v>0.35112695227219692</v>
      </c>
      <c r="H77" s="256">
        <f>Inputs!F93</f>
        <v>12529703</v>
      </c>
      <c r="I77" s="211">
        <f>H77/$H$74</f>
        <v>0.35112695227219692</v>
      </c>
      <c r="K77" s="75"/>
    </row>
    <row r="78" spans="1:11" ht="15" customHeight="1" x14ac:dyDescent="0.35">
      <c r="B78" s="93" t="s">
        <v>151</v>
      </c>
      <c r="C78" s="97">
        <f>MAX(Data!C12,0)</f>
        <v>60156.862745098035</v>
      </c>
      <c r="D78" s="101">
        <f>C78/$C$74</f>
        <v>1.6858097812807804E-3</v>
      </c>
      <c r="E78" s="214">
        <f>E74*F78</f>
        <v>60156.862745098035</v>
      </c>
      <c r="F78" s="211">
        <f>I78</f>
        <v>1.6858097812807804E-3</v>
      </c>
      <c r="H78" s="256">
        <f>Inputs!F97</f>
        <v>60156.862745098035</v>
      </c>
      <c r="I78" s="211">
        <f>H78/$H$74</f>
        <v>1.6858097812807804E-3</v>
      </c>
      <c r="K78" s="75"/>
    </row>
    <row r="79" spans="1:11" ht="15" customHeight="1" x14ac:dyDescent="0.35">
      <c r="B79" s="215" t="s">
        <v>204</v>
      </c>
      <c r="C79" s="216">
        <f>C76-C77-C78</f>
        <v>6225396.1372549022</v>
      </c>
      <c r="D79" s="217">
        <f>C79/C74</f>
        <v>0.17445779619528262</v>
      </c>
      <c r="E79" s="218">
        <f>E76-E77-E78</f>
        <v>6225396.1372549022</v>
      </c>
      <c r="F79" s="217">
        <f>E79/E74</f>
        <v>0.17445779619528262</v>
      </c>
      <c r="G79" s="219"/>
      <c r="H79" s="218">
        <f>H76-H77-H78</f>
        <v>6225396.1372549022</v>
      </c>
      <c r="I79" s="217">
        <f>H79/H74</f>
        <v>0.17445779619528262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0</v>
      </c>
      <c r="D81" s="101">
        <f>C81/$C$74</f>
        <v>0</v>
      </c>
      <c r="E81" s="214">
        <f>E74*F81</f>
        <v>0</v>
      </c>
      <c r="F81" s="211">
        <f>I81</f>
        <v>0</v>
      </c>
      <c r="H81" s="256">
        <f>Inputs!F94</f>
        <v>0</v>
      </c>
      <c r="I81" s="211">
        <f>H81/$H$74</f>
        <v>0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6225396.1372549022</v>
      </c>
      <c r="D83" s="223">
        <f>C83/$C$74</f>
        <v>0.17445779619528262</v>
      </c>
      <c r="E83" s="224">
        <f>E79-E81-E82-E80</f>
        <v>6225396.1372549022</v>
      </c>
      <c r="F83" s="223">
        <f>E83/E74</f>
        <v>0.17445779619528262</v>
      </c>
      <c r="H83" s="224">
        <f>H79-H81-H82-H80</f>
        <v>6225396.1372549022</v>
      </c>
      <c r="I83" s="223">
        <f>H83/$H$74</f>
        <v>0.17445779619528262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0.23499999999999999</v>
      </c>
      <c r="E84" s="226"/>
      <c r="F84" s="227">
        <f t="shared" ref="F84" si="3">I84</f>
        <v>0.23499999999999999</v>
      </c>
      <c r="H84" s="226"/>
      <c r="I84" s="257">
        <f>Inputs!C16</f>
        <v>0.23499999999999999</v>
      </c>
      <c r="K84" s="75"/>
    </row>
    <row r="85" spans="1:11" ht="15" customHeight="1" x14ac:dyDescent="0.35">
      <c r="B85" s="228" t="s">
        <v>147</v>
      </c>
      <c r="C85" s="216">
        <f>C83*(1-I84)</f>
        <v>4762428.0449999999</v>
      </c>
      <c r="D85" s="217">
        <f>C85/$C$74</f>
        <v>0.13346021408939118</v>
      </c>
      <c r="E85" s="229">
        <f>E83*(1-F84)</f>
        <v>4762428.0449999999</v>
      </c>
      <c r="F85" s="217">
        <f>E85/E74</f>
        <v>0.13346021408939118</v>
      </c>
      <c r="G85" s="219"/>
      <c r="H85" s="229">
        <f>H83*(1-I84)</f>
        <v>4762428.0449999999</v>
      </c>
      <c r="I85" s="217">
        <f>H85/$H$74</f>
        <v>0.13346021408939118</v>
      </c>
      <c r="K85" s="75"/>
    </row>
    <row r="86" spans="1:11" ht="15" customHeight="1" x14ac:dyDescent="0.35">
      <c r="B86" s="3" t="s">
        <v>144</v>
      </c>
      <c r="C86" s="230">
        <f>C85*Data!C4/Common_Shares</f>
        <v>1.0889066769172429</v>
      </c>
      <c r="D86" s="98"/>
      <c r="E86" s="231">
        <f>E85*Data!C4/Common_Shares</f>
        <v>1.0889066769172429</v>
      </c>
      <c r="F86" s="98"/>
      <c r="H86" s="231">
        <f>H85*Data!C4/Common_Shares</f>
        <v>1.0889066769172429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3.4188592681860058E-2</v>
      </c>
      <c r="D87" s="98"/>
      <c r="E87" s="233">
        <f>E86*Exchange_Rate/Dashboard!G3</f>
        <v>3.4188592681860058E-2</v>
      </c>
      <c r="F87" s="98"/>
      <c r="H87" s="233">
        <f>H86*Exchange_Rate/Dashboard!G3</f>
        <v>3.4188592681860058E-2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0.8</v>
      </c>
      <c r="D88" s="235">
        <f>C88/C86</f>
        <v>0.73468187582874034</v>
      </c>
      <c r="E88" s="255">
        <f>Inputs!E98</f>
        <v>0.5</v>
      </c>
      <c r="F88" s="235">
        <f>E88/E86</f>
        <v>0.45917617239296266</v>
      </c>
      <c r="H88" s="255">
        <f>Inputs!F98</f>
        <v>0.5</v>
      </c>
      <c r="I88" s="235">
        <f>H88/H86</f>
        <v>0.45917617239296266</v>
      </c>
      <c r="K88" s="75"/>
    </row>
    <row r="89" spans="1:11" ht="15" customHeight="1" x14ac:dyDescent="0.35">
      <c r="B89" s="3" t="s">
        <v>194</v>
      </c>
      <c r="C89" s="232">
        <f>C88*Exchange_Rate/Dashboard!G3</f>
        <v>2.5117739403453691E-2</v>
      </c>
      <c r="D89" s="98"/>
      <c r="E89" s="232">
        <f>E88*Exchange_Rate/Dashboard!G3</f>
        <v>1.5698587127158554E-2</v>
      </c>
      <c r="F89" s="98"/>
      <c r="H89" s="232">
        <f>H88*Exchange_Rate/Dashboard!G3</f>
        <v>1.5698587127158554E-2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22.647848109694976</v>
      </c>
      <c r="H93" s="3" t="s">
        <v>183</v>
      </c>
      <c r="I93" s="237">
        <f>FV(H87,D93,0,-(H86/(C93-D94)))*Exchange_Rate</f>
        <v>22.647848109694976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9.6753505314917163</v>
      </c>
      <c r="H94" s="3" t="s">
        <v>184</v>
      </c>
      <c r="I94" s="237">
        <f>FV(H89,D93,0,-(H88/(C93-D94)))*Exchange_Rate</f>
        <v>9.6753505314917163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56633492.996333398</v>
      </c>
      <c r="D97" s="244"/>
      <c r="E97" s="245">
        <f>PV(C94,D93,0,-F93)</f>
        <v>12.948980662416149</v>
      </c>
      <c r="F97" s="244"/>
      <c r="H97" s="245">
        <f>PV(C94,D93,0,-I93)</f>
        <v>12.948980662416149</v>
      </c>
      <c r="I97" s="245">
        <f>PV(C93,D93,0,-I93)</f>
        <v>16.95872066283447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11.006633563053727</v>
      </c>
      <c r="E100" s="251">
        <f>MAX(E97+H98+E99,0)</f>
        <v>12.948980662416149</v>
      </c>
      <c r="F100" s="251">
        <f>(E100+H100)/2</f>
        <v>12.948980662416149</v>
      </c>
      <c r="H100" s="251">
        <f>MAX(H97+H98+H99,0)</f>
        <v>12.948980662416149</v>
      </c>
      <c r="I100" s="251">
        <f>MAX(I97+H98+H99,0)</f>
        <v>16.95872066283447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4.7021261083360688</v>
      </c>
      <c r="E103" s="245">
        <f>PV(C94,D93,0,-F94)</f>
        <v>5.5319130686306694</v>
      </c>
      <c r="F103" s="251">
        <f>(E103+H103)/2</f>
        <v>5.5319130686306694</v>
      </c>
      <c r="H103" s="245">
        <f>PV(C94,D93,0,-I94)</f>
        <v>5.5319130686306694</v>
      </c>
      <c r="I103" s="251">
        <f>PV(C93,D93,0,-I94)</f>
        <v>7.244907603753127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7.8543798356948979</v>
      </c>
      <c r="E106" s="245">
        <f>(E100+E103)/2</f>
        <v>9.2404468655234098</v>
      </c>
      <c r="F106" s="251">
        <f>(F100+F103)/2</f>
        <v>9.2404468655234098</v>
      </c>
      <c r="H106" s="245">
        <f>(H100+H103)/2</f>
        <v>9.2404468655234098</v>
      </c>
      <c r="I106" s="245">
        <f>(I100+I103)/2</f>
        <v>12.101814133293798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