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852C52D-0205-49D9-ADC2-8FA9A93C2E0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F96" i="4" l="1"/>
  <c r="E95" i="4"/>
  <c r="E92" i="4"/>
  <c r="F97" i="4"/>
  <c r="F92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<sst xmlns="http://schemas.openxmlformats.org/spreadsheetml/2006/main" count="405" uniqueCount="289">
  <si>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</si>
  <si>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</si>
  <si>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</si>
  <si>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</si>
  <si>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</si>
  <si>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</si>
  <si>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</si>
  <si>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</si>
  <si>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</si>
  <si>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</si>
  <si>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</si>
  <si>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</si>
  <si>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</si>
  <si>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</si>
  <si>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</si>
  <si>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</si>
  <si>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</si>
  <si>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</si>
  <si>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</si>
  <si>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</si>
  <si>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</si>
  <si>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</si>
  <si>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</si>
  <si>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</si>
  <si>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</si>
  <si>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</si>
  <si>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</si>
  <si>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</si>
  <si>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</si>
  <si>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</si>
  <si>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</si>
  <si>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</si>
  <si>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</si>
  <si>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</si>
  <si>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</si>
  <si>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</si>
  <si>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</si>
  <si>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</si>
  <si>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</si>
  <si>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</si>
  <si>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</si>
  <si>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</si>
  <si>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</si>
  <si>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</si>
  <si>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</si>
  <si>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</si>
  <si>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</si>
  <si>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</si>
  <si>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</si>
  <si>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</si>
  <si>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</si>
  <si>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</si>
  <si>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</si>
  <si>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</si>
  <si>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</si>
  <si>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</si>
  <si>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</si>
  <si>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</si>
  <si>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</si>
  <si>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</si>
  <si>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</si>
  <si>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</si>
  <si>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</si>
  <si>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</si>
  <si>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</si>
  <si>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</si>
  <si>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</si>
  <si>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</si>
  <si>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</si>
  <si>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</si>
  <si>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</si>
  <si>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</si>
  <si>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</si>
  <si>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</si>
  <si>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</si>
  <si>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</si>
  <si>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</si>
  <si>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</si>
  <si>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</si>
  <si>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</si>
  <si>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</si>
  <si>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</si>
  <si>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</si>
  <si>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</si>
  <si>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</si>
  <si>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</si>
  <si>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</si>
  <si>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</si>
  <si>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</si>
  <si>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</si>
  <si>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</si>
  <si>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</si>
  <si>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</si>
  <si>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</si>
  <si>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</si>
  <si>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</si>
  <si>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</si>
  <si>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</si>
  <si>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</si>
  <si>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</si>
  <si>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</si>
  <si>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</si>
  <si>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</si>
  <si>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</si>
  <si>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</si>
  <si>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</si>
  <si>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</si>
  <si>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</si>
  <si>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</si>
  <si>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</si>
  <si>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</si>
  <si>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</si>
  <si>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</si>
  <si>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</si>
  <si>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</si>
  <si>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</si>
  <si>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</si>
  <si>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</si>
  <si>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</si>
  <si>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</si>
  <si>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</si>
  <si>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</si>
  <si>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</si>
  <si>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</si>
  <si>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</si>
  <si>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</si>
  <si>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</si>
  <si>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</si>
  <si>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</si>
  <si>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</si>
  <si>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</si>
  <si>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</si>
  <si>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</si>
  <si>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</si>
  <si>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</si>
  <si>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</si>
  <si>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</si>
  <si>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</si>
  <si>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</si>
  <si>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</si>
  <si>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</si>
  <si>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</si>
  <si>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</si>
  <si>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</si>
  <si>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</si>
  <si>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</si>
  <si>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</si>
  <si>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</si>
  <si>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</si>
  <si>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</si>
  <si>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</si>
  <si>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</si>
  <si>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</si>
  <si>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</si>
  <si>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</si>
  <si>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</si>
  <si>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</si>
  <si>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</si>
  <si>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</si>
  <si>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</si>
  <si>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</si>
  <si>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</si>
  <si>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</si>
  <si>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</si>
  <si>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</si>
  <si>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</si>
  <si>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</si>
  <si>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</si>
  <si>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</si>
  <si>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</si>
  <si>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</si>
  <si>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</si>
  <si>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</si>
  <si>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</si>
  <si>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</si>
  <si>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</si>
  <si>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</si>
  <si>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</si>
  <si>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</si>
  <si>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</si>
  <si>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</si>
  <si>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</si>
  <si>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</si>
  <si>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</si>
  <si>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</si>
  <si>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</si>
  <si>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</si>
  <si>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</si>
  <si>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</si>
  <si>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</si>
  <si>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</si>
  <si>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</si>
  <si>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</si>
  <si>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</si>
  <si>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</si>
  <si>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</si>
  <si>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</si>
  <si>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</si>
  <si>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</si>
  <si>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</si>
  <si>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</si>
  <si>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</si>
  <si>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</si>
  <si>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</si>
  <si>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</si>
  <si>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</si>
  <si>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</si>
  <si>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</si>
  <si>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</si>
  <si>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</si>
  <si>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</si>
  <si>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</si>
  <si>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</si>
  <si>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</si>
  <si>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</si>
  <si>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</si>
  <si>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</si>
  <si>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</si>
  <si>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</si>
  <si>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</si>
  <si>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</si>
  <si>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</si>
  <si>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</si>
  <si>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</si>
  <si>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</si>
  <si>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</si>
  <si>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</si>
  <si>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</si>
  <si>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</si>
  <si>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</si>
  <si>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</si>
  <si>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</si>
  <si>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</si>
  <si>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</si>
  <si>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</si>
  <si>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</si>
  <si>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</si>
  <si>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</si>
  <si>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</si>
  <si>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</si>
  <si>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</si>
  <si>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</si>
  <si>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</si>
  <si>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</si>
  <si>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</si>
  <si>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</si>
  <si>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</si>
  <si>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</si>
  <si>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</si>
  <si>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</si>
  <si>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</si>
  <si>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</si>
  <si>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</si>
  <si>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</si>
  <si>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</si>
  <si>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</si>
  <si>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</si>
  <si>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</si>
  <si>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</si>
  <si>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</si>
  <si>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</si>
  <si>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</si>
  <si>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</si>
  <si>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</si>
  <si>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</si>
  <si>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</si>
  <si>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</si>
  <si>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</si>
  <si>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</si>
  <si>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</si>
  <si>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</si>
  <si>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</si>
  <si>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</si>
  <si>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</si>
  <si>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</si>
  <si>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</si>
  <si>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</si>
  <si>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</si>
  <si>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</si>
  <si>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</si>
  <si>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</si>
  <si>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0069.HK</t>
  </si>
  <si>
    <t>SHANGRI-LA ASIA</t>
  </si>
  <si>
    <t>C0011</t>
  </si>
  <si>
    <t>USD</t>
  </si>
  <si>
    <t>Strongly agree</t>
  </si>
  <si>
    <t>disagree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</si>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</sst>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281</v>
      </c>
      <c r="D4" s="66"/>
    </row>
    <row r="5" spans="1:5" x14ac:dyDescent="0.35">
      <c r="B5" s="46" t="s">
        <v>168</v>
      </c>
      <c r="C5" s="67" t="s">
        <v>282</v>
      </c>
    </row>
    <row r="6" spans="1:5" x14ac:dyDescent="0.35">
      <c r="B6" s="46" t="s">
        <v>268</v>
      </c>
      <c r="C6" s="68">
        <v>45603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283</v>
      </c>
    </row>
    <row r="10" spans="1:5" x14ac:dyDescent="0.35">
      <c r="B10" s="39" t="s">
        <v>190</v>
      </c>
      <c r="C10" s="70">
        <v>3585525056</v>
      </c>
    </row>
    <row r="11" spans="1:5" x14ac:dyDescent="0.35">
      <c r="B11" s="39" t="s">
        <v>191</v>
      </c>
      <c r="C11" s="69" t="s">
        <v>284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164</v>
      </c>
    </row>
    <row r="16" spans="1:5" x14ac:dyDescent="0.35">
      <c r="B16" s="74" t="s">
        <v>88</v>
      </c>
      <c r="C16" s="120">
        <v>0.23499999999999999</v>
      </c>
      <c r="D16" s="75"/>
      <c r="E16" s="25" t="s">
        <v>251</v>
      </c>
    </row>
    <row r="17" spans="2:13" x14ac:dyDescent="0.35">
      <c r="B17" s="56" t="s">
        <v>196</v>
      </c>
      <c r="C17" s="121" t="s">
        <v>285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286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286</v>
      </c>
      <c r="D21" s="75"/>
    </row>
    <row r="22" spans="2:13" ht="69.75" x14ac:dyDescent="0.35">
      <c r="B22" s="59" t="s">
        <v>201</v>
      </c>
      <c r="C22" s="122" t="s">
        <v>287</v>
      </c>
      <c r="D22" s="75"/>
    </row>
    <row r="24" spans="2:13" x14ac:dyDescent="0.35">
      <c r="B24" s="76" t="s">
        <v>277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2141790</v>
      </c>
      <c r="D25" s="77">
        <v>1462145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975048</v>
      </c>
      <c r="D26" s="78">
        <v>775627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961086</v>
      </c>
      <c r="D27" s="78">
        <v>799714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258378</v>
      </c>
      <c r="D29" s="78">
        <v>360932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275</v>
      </c>
      <c r="C30" s="302"/>
      <c r="D30" s="302">
        <v>-28933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17537</v>
      </c>
      <c r="D31" s="78">
        <v>-28933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(0.05+0.15)/7.8</f>
        <v>2.5641025641025644E-2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3.8307758231608674E-2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276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288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1000USD)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2141790</v>
      </c>
      <c r="D91" s="98"/>
      <c r="E91" s="99">
        <f>C91</f>
        <v>2141790</v>
      </c>
      <c r="F91" s="99">
        <f>C91</f>
        <v>2141790</v>
      </c>
    </row>
    <row r="92" spans="2:8" x14ac:dyDescent="0.35">
      <c r="B92" s="100" t="s">
        <v>97</v>
      </c>
      <c r="C92" s="97">
        <f>C26</f>
        <v>975048</v>
      </c>
      <c r="D92" s="101">
        <f>C92/C91</f>
        <v>0.45524911405880131</v>
      </c>
      <c r="E92" s="102">
        <f>E91*D92</f>
        <v>975048</v>
      </c>
      <c r="F92" s="102">
        <f>F91*D92</f>
        <v>975048</v>
      </c>
    </row>
    <row r="93" spans="2:8" x14ac:dyDescent="0.35">
      <c r="B93" s="100" t="s">
        <v>216</v>
      </c>
      <c r="C93" s="97">
        <f>C27+C28</f>
        <v>961086</v>
      </c>
      <c r="D93" s="101">
        <f>C93/C91</f>
        <v>0.44873026767330132</v>
      </c>
      <c r="E93" s="102">
        <f>E91*D93</f>
        <v>961086</v>
      </c>
      <c r="F93" s="102">
        <f>F91*D93</f>
        <v>961086</v>
      </c>
    </row>
    <row r="94" spans="2:8" x14ac:dyDescent="0.35">
      <c r="B94" s="100" t="s">
        <v>222</v>
      </c>
      <c r="C94" s="97">
        <f>C29</f>
        <v>258378</v>
      </c>
      <c r="D94" s="101">
        <f>C94/C91</f>
        <v>0.12063647696552883</v>
      </c>
      <c r="E94" s="103"/>
      <c r="F94" s="102">
        <f>F91*D94</f>
        <v>258378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22924.183006535946</v>
      </c>
      <c r="D97" s="101">
        <f>C97/C91</f>
        <v>1.0703282304304319E-2</v>
      </c>
      <c r="E97" s="103"/>
      <c r="F97" s="102">
        <f>F91*D97</f>
        <v>22924.183006535946</v>
      </c>
    </row>
    <row r="98" spans="2:6" x14ac:dyDescent="0.35">
      <c r="B98" s="8" t="s">
        <v>180</v>
      </c>
      <c r="C98" s="104">
        <f>C44</f>
        <v>2.5641025641025644E-2</v>
      </c>
      <c r="D98" s="105"/>
      <c r="E98" s="106">
        <f>F98</f>
        <v>2.5641025641025644E-2</v>
      </c>
      <c r="F98" s="106">
        <f>C98</f>
        <v>2.5641025641025644E-2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0069.HK : SHANGRI-LA ASIA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167</v>
      </c>
      <c r="C3" s="312" t="str">
        <f>Inputs!C4</f>
        <v>0069.HK</v>
      </c>
      <c r="D3" s="313"/>
      <c r="E3" s="3"/>
      <c r="F3" s="9" t="s">
        <v>1</v>
      </c>
      <c r="G3" s="10">
        <v>5.21</v>
      </c>
      <c r="H3" s="11" t="s">
        <v>256</v>
      </c>
    </row>
    <row r="4" spans="1:10" ht="15.75" customHeight="1" x14ac:dyDescent="0.35">
      <c r="B4" s="12" t="s">
        <v>168</v>
      </c>
      <c r="C4" s="314" t="str">
        <f>Inputs!C5</f>
        <v>SHANGRI-LA ASIA</v>
      </c>
      <c r="D4" s="315"/>
      <c r="E4" s="3"/>
      <c r="F4" s="9" t="s">
        <v>2</v>
      </c>
      <c r="G4" s="318">
        <f>Inputs!C10</f>
        <v>3585525056</v>
      </c>
      <c r="H4" s="318"/>
      <c r="I4" s="14"/>
    </row>
    <row r="5" spans="1:10" ht="15.75" customHeight="1" x14ac:dyDescent="0.35">
      <c r="B5" s="9" t="s">
        <v>145</v>
      </c>
      <c r="C5" s="316">
        <f>Inputs!C6</f>
        <v>45603</v>
      </c>
      <c r="D5" s="317"/>
      <c r="E5" s="16"/>
      <c r="F5" s="12" t="s">
        <v>91</v>
      </c>
      <c r="G5" s="321">
        <f>G3*G4/1000000</f>
        <v>18680.58554176</v>
      </c>
      <c r="H5" s="321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2" t="str">
        <f>Inputs!C11</f>
        <v>USD</v>
      </c>
      <c r="H6" s="322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C0011</v>
      </c>
      <c r="E7" s="3"/>
      <c r="F7" s="12" t="s">
        <v>5</v>
      </c>
      <c r="G7" s="21">
        <v>7.7837533950805664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HK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8.5317335963593088E-2</v>
      </c>
      <c r="F21" s="3"/>
      <c r="G21" s="34"/>
    </row>
    <row r="22" spans="1:8" ht="15.75" customHeight="1" x14ac:dyDescent="0.35">
      <c r="B22" s="35" t="s">
        <v>244</v>
      </c>
      <c r="C22" s="36" t="e">
        <f>Data!C50</f>
        <v>#DIV/0!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239</v>
      </c>
      <c r="C24" s="42">
        <f>Fin_Analysis!I81</f>
        <v>0.12063647696552883</v>
      </c>
      <c r="F24" s="39" t="s">
        <v>224</v>
      </c>
      <c r="G24" s="43">
        <f>G3/(Fin_Analysis!H86*G7)</f>
        <v>-41.471807373619384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-1.5886919702964573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3.8307758231608674E-2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9" t="s">
        <v>223</v>
      </c>
      <c r="H28" s="319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2.0497161935733317</v>
      </c>
      <c r="D29" s="54">
        <f>G29*(1+G20)</f>
        <v>3.6318687989956588</v>
      </c>
      <c r="E29" s="3"/>
      <c r="F29" s="55">
        <f>IF(Fin_Analysis!C108="Profit",Fin_Analysis!F100,IF(Fin_Analysis!C108="Dividend",Fin_Analysis!F103,Fin_Analysis!F106))</f>
        <v>2.4114308159686257</v>
      </c>
      <c r="G29" s="320">
        <f>IF(Fin_Analysis!C108="Profit",Fin_Analysis!I100,IF(Fin_Analysis!C108="Dividend",Fin_Analysis!I103,Fin_Analysis!I106))</f>
        <v>3.1581467817353559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Strongly agree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disagree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disagree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182731.81699346405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USD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2141790</v>
      </c>
      <c r="D6" s="142">
        <f>IF(Inputs!D25="","",Inputs!D25)</f>
        <v>1462145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0.46482735980357615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975048</v>
      </c>
      <c r="D8" s="144">
        <f>IF(Inputs!D26="","",Inputs!D26)</f>
        <v>775627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1166742</v>
      </c>
      <c r="D9" s="273">
        <f t="shared" si="2"/>
        <v>686518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961086</v>
      </c>
      <c r="D10" s="144">
        <f>IF(Inputs!D27="","",Inputs!D27)</f>
        <v>799714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22924.183006535946</v>
      </c>
      <c r="D12" s="144">
        <f>IF(Inputs!D31="","",MAX(Inputs!D31,0)/(1-Fin_Analysis!$I$84))</f>
        <v>0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8.5317335963593088E-2</v>
      </c>
      <c r="D13" s="292">
        <f t="shared" si="3"/>
        <v>-7.7417766363801127E-2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182731.81699346405</v>
      </c>
      <c r="D14" s="294">
        <f t="shared" ref="D14:M14" si="4">IF(D6="","",D9-D10-MAX(D11,0)-MAX(D12,0))</f>
        <v>-113196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 t="str">
        <f>IF(D14="","",IF(ABS(C14+D14)=ABS(C14)+ABS(D14),IF(C14&lt;0,-1,1)*(C14-D14)/D14,"Turn"))</f>
        <v>Turn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278</v>
      </c>
      <c r="C16" s="147" t="str">
        <f>IF(C17="","",C17-C14)</f>
        <v/>
      </c>
      <c r="D16" s="147">
        <f t="shared" ref="D16:M16" si="6">IF(D17="","",D17-D14)</f>
        <v>84263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275</v>
      </c>
      <c r="C17" s="307" t="str">
        <f>IF(Inputs!C30="","",Inputs!C30)</f>
        <v/>
      </c>
      <c r="D17" s="307">
        <f>IF(Inputs!D30="","",Inputs!D30)</f>
        <v>-28933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258378</v>
      </c>
      <c r="D19" s="144">
        <f>IF(Inputs!D29="","",Inputs!D29)</f>
        <v>360932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279</v>
      </c>
      <c r="C24" s="309">
        <f t="shared" ref="C24:M24" si="9">IF(C6="","",C14-MAX(C18,0)-MAX(C19,0)-ABS(MAX(C23,0)-MAX(C21,0)))</f>
        <v>-75646.183006535954</v>
      </c>
      <c r="D24" s="309">
        <f t="shared" si="9"/>
        <v>-474128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-2.7019142866480845E-2</v>
      </c>
      <c r="D25" s="143">
        <f t="shared" si="10"/>
        <v>-0.24806562960581885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280</v>
      </c>
      <c r="C26" s="275">
        <f>IF(C6="","",C24*(1-Fin_Analysis!$I$84))</f>
        <v>-57869.330000000009</v>
      </c>
      <c r="D26" s="276">
        <f>IF(D6="","",D24*(1-Fin_Analysis!$I$84))</f>
        <v>-362707.92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0.84045198130771448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0.45524911405880131</v>
      </c>
      <c r="D42" s="150">
        <f t="shared" si="35"/>
        <v>0.5304720120097528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0.44873026767330132</v>
      </c>
      <c r="D43" s="146">
        <f t="shared" si="36"/>
        <v>0.54694575435404835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0.12063647696552883</v>
      </c>
      <c r="D45" s="146">
        <f t="shared" si="38"/>
        <v>0.2468510305065503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1.0703282304304319E-2</v>
      </c>
      <c r="D46" s="146">
        <f t="shared" si="39"/>
        <v>0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-3.5319141001935742E-2</v>
      </c>
      <c r="D48" s="281">
        <f t="shared" si="41"/>
        <v>-0.32426879687035143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-3.4156118621038121</v>
      </c>
      <c r="D57" s="146">
        <f t="shared" si="48"/>
        <v>-0.76125434481827692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17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18">
        <f>Inputs!C84</f>
        <v>0</v>
      </c>
      <c r="E57" s="317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274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1000USD)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2141790</v>
      </c>
      <c r="D74" s="98"/>
      <c r="E74" s="256">
        <f>Inputs!E91</f>
        <v>2141790</v>
      </c>
      <c r="F74" s="98"/>
      <c r="H74" s="256">
        <f>Inputs!F91</f>
        <v>2141790</v>
      </c>
      <c r="I74" s="98"/>
      <c r="K74" s="75"/>
    </row>
    <row r="75" spans="1:11" ht="15" customHeight="1" x14ac:dyDescent="0.35">
      <c r="B75" s="100" t="s">
        <v>97</v>
      </c>
      <c r="C75" s="97">
        <f>Data!C8</f>
        <v>975048</v>
      </c>
      <c r="D75" s="101">
        <f>C75/$C$74</f>
        <v>0.45524911405880131</v>
      </c>
      <c r="E75" s="256">
        <f>Inputs!E92</f>
        <v>975048</v>
      </c>
      <c r="F75" s="211">
        <f>E75/E74</f>
        <v>0.45524911405880131</v>
      </c>
      <c r="H75" s="256">
        <f>Inputs!F92</f>
        <v>975048</v>
      </c>
      <c r="I75" s="211">
        <f>H75/$H$74</f>
        <v>0.45524911405880131</v>
      </c>
      <c r="K75" s="75"/>
    </row>
    <row r="76" spans="1:11" ht="15" customHeight="1" x14ac:dyDescent="0.35">
      <c r="B76" s="12" t="s">
        <v>87</v>
      </c>
      <c r="C76" s="145">
        <f>C74-C75</f>
        <v>1166742</v>
      </c>
      <c r="D76" s="212"/>
      <c r="E76" s="213">
        <f>E74-E75</f>
        <v>1166742</v>
      </c>
      <c r="F76" s="212"/>
      <c r="H76" s="213">
        <f>H74-H75</f>
        <v>1166742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961086</v>
      </c>
      <c r="D77" s="101">
        <f>C77/$C$74</f>
        <v>0.44873026767330132</v>
      </c>
      <c r="E77" s="256">
        <f>Inputs!E93</f>
        <v>961086</v>
      </c>
      <c r="F77" s="211">
        <f>E77/E74</f>
        <v>0.44873026767330132</v>
      </c>
      <c r="H77" s="256">
        <f>Inputs!F93</f>
        <v>961086</v>
      </c>
      <c r="I77" s="211">
        <f>H77/$H$74</f>
        <v>0.44873026767330132</v>
      </c>
      <c r="K77" s="75"/>
    </row>
    <row r="78" spans="1:11" ht="15" customHeight="1" x14ac:dyDescent="0.35">
      <c r="B78" s="93" t="s">
        <v>150</v>
      </c>
      <c r="C78" s="97">
        <f>MAX(Data!C12,0)</f>
        <v>22924.183006535946</v>
      </c>
      <c r="D78" s="101">
        <f>C78/$C$74</f>
        <v>1.0703282304304319E-2</v>
      </c>
      <c r="E78" s="214">
        <f>E74*F78</f>
        <v>22924.183006535946</v>
      </c>
      <c r="F78" s="211">
        <f>I78</f>
        <v>1.0703282304304319E-2</v>
      </c>
      <c r="H78" s="256">
        <f>Inputs!F97</f>
        <v>22924.183006535946</v>
      </c>
      <c r="I78" s="211">
        <f>H78/$H$74</f>
        <v>1.0703282304304319E-2</v>
      </c>
      <c r="K78" s="75"/>
    </row>
    <row r="79" spans="1:11" ht="15" customHeight="1" x14ac:dyDescent="0.35">
      <c r="B79" s="215" t="s">
        <v>203</v>
      </c>
      <c r="C79" s="216">
        <f>C76-C77-C78</f>
        <v>182731.81699346405</v>
      </c>
      <c r="D79" s="217">
        <f>C79/C74</f>
        <v>8.5317335963593088E-2</v>
      </c>
      <c r="E79" s="218">
        <f>E76-E77-E78</f>
        <v>182731.81699346405</v>
      </c>
      <c r="F79" s="217">
        <f>E79/E74</f>
        <v>8.5317335963593088E-2</v>
      </c>
      <c r="G79" s="219"/>
      <c r="H79" s="218">
        <f>H76-H77-H78</f>
        <v>182731.81699346405</v>
      </c>
      <c r="I79" s="217">
        <f>H79/H74</f>
        <v>8.5317335963593088E-2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258378</v>
      </c>
      <c r="D81" s="101">
        <f>C81/$C$74</f>
        <v>0.12063647696552883</v>
      </c>
      <c r="E81" s="214">
        <f>E74*F81</f>
        <v>258378</v>
      </c>
      <c r="F81" s="211">
        <f>I81</f>
        <v>0.12063647696552883</v>
      </c>
      <c r="H81" s="256">
        <f>Inputs!F94</f>
        <v>258378</v>
      </c>
      <c r="I81" s="211">
        <f>H81/$H$74</f>
        <v>0.12063647696552883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-75646.183006535954</v>
      </c>
      <c r="D83" s="223">
        <f>C83/$C$74</f>
        <v>-3.5319141001935742E-2</v>
      </c>
      <c r="E83" s="224">
        <f>E79-E81-E82-E80</f>
        <v>-75646.183006535954</v>
      </c>
      <c r="F83" s="223">
        <f>E83/E74</f>
        <v>-3.5319141001935742E-2</v>
      </c>
      <c r="H83" s="224">
        <f>H79-H81-H82-H80</f>
        <v>-75646.183006535954</v>
      </c>
      <c r="I83" s="223">
        <f>H83/$H$74</f>
        <v>-3.5319141001935742E-2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0.23499999999999999</v>
      </c>
      <c r="E84" s="226"/>
      <c r="F84" s="227">
        <f t="shared" ref="F84" si="3">I84</f>
        <v>0.23499999999999999</v>
      </c>
      <c r="H84" s="226"/>
      <c r="I84" s="257">
        <f>Inputs!C16</f>
        <v>0.23499999999999999</v>
      </c>
      <c r="K84" s="75"/>
    </row>
    <row r="85" spans="1:11" ht="15" customHeight="1" x14ac:dyDescent="0.35">
      <c r="B85" s="228" t="s">
        <v>146</v>
      </c>
      <c r="C85" s="216">
        <f>C83*(1-I84)</f>
        <v>-57869.330000000009</v>
      </c>
      <c r="D85" s="217">
        <f>C85/$C$74</f>
        <v>-2.7019142866480845E-2</v>
      </c>
      <c r="E85" s="229">
        <f>E83*(1-F84)</f>
        <v>-57869.330000000009</v>
      </c>
      <c r="F85" s="217">
        <f>E85/E74</f>
        <v>-2.7019142866480845E-2</v>
      </c>
      <c r="G85" s="219"/>
      <c r="H85" s="229">
        <f>H83*(1-I84)</f>
        <v>-57869.330000000009</v>
      </c>
      <c r="I85" s="217">
        <f>H85/$H$74</f>
        <v>-2.7019142866480845E-2</v>
      </c>
      <c r="K85" s="75"/>
    </row>
    <row r="86" spans="1:11" ht="15" customHeight="1" x14ac:dyDescent="0.35">
      <c r="B86" s="3" t="s">
        <v>143</v>
      </c>
      <c r="C86" s="230">
        <f>C85*Data!C4/Common_Shares</f>
        <v>-1.6139708716624852E-2</v>
      </c>
      <c r="D86" s="98"/>
      <c r="E86" s="231">
        <f>E85*Data!C4/Common_Shares</f>
        <v>-1.6139708716624852E-2</v>
      </c>
      <c r="F86" s="98"/>
      <c r="H86" s="231">
        <f>H85*Data!C4/Common_Shares</f>
        <v>-1.6139708716624852E-2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-2.4112766318357026E-2</v>
      </c>
      <c r="D87" s="98"/>
      <c r="E87" s="233">
        <f>E86*Exchange_Rate/Dashboard!G3</f>
        <v>-2.4112766318357026E-2</v>
      </c>
      <c r="F87" s="98"/>
      <c r="H87" s="233">
        <f>H86*Exchange_Rate/Dashboard!G3</f>
        <v>-2.4112766318357026E-2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2.5641025641025644E-2</v>
      </c>
      <c r="D88" s="235">
        <f>C88/C86</f>
        <v>-1.5886919702964573</v>
      </c>
      <c r="E88" s="255">
        <f>Inputs!E98</f>
        <v>2.5641025641025644E-2</v>
      </c>
      <c r="F88" s="235">
        <f>E88/E86</f>
        <v>-1.5886919702964573</v>
      </c>
      <c r="H88" s="255">
        <f>Inputs!F98</f>
        <v>2.5641025641025644E-2</v>
      </c>
      <c r="I88" s="235">
        <f>H88/H86</f>
        <v>-1.5886919702964573</v>
      </c>
      <c r="K88" s="75"/>
    </row>
    <row r="89" spans="1:11" ht="15" customHeight="1" x14ac:dyDescent="0.35">
      <c r="B89" s="3" t="s">
        <v>193</v>
      </c>
      <c r="C89" s="232">
        <f>C88*Exchange_Rate/Dashboard!G3</f>
        <v>3.8307758231608674E-2</v>
      </c>
      <c r="D89" s="98"/>
      <c r="E89" s="232">
        <f>E88*Exchange_Rate/Dashboard!G3</f>
        <v>3.8307758231608674E-2</v>
      </c>
      <c r="F89" s="98"/>
      <c r="H89" s="232">
        <f>H88*Exchange_Rate/Dashboard!G3</f>
        <v>3.8307758231608674E-2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HK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HK Discount Rate</v>
      </c>
      <c r="C93" s="236">
        <f>IF(C92="CN",Dashboard!C17,IF(C92="US",Dashboard!C12,IF(C92="HK",Dashboard!D12,Dashboard!D17)))</f>
        <v>7.5000000000000011E-2</v>
      </c>
      <c r="D93" s="253">
        <f>Dashboard!H20</f>
        <v>4</v>
      </c>
      <c r="E93" s="3" t="s">
        <v>182</v>
      </c>
      <c r="F93" s="237">
        <f>FV(E87,D93,0,-(E86/(C93-D94)))*Exchange_Rate</f>
        <v>-2.0716701951641583</v>
      </c>
      <c r="H93" s="3" t="s">
        <v>182</v>
      </c>
      <c r="I93" s="237">
        <f>FV(H87,D93,0,-(H86/(C93-D94)))*Exchange_Rate</f>
        <v>-2.0716701951641583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4.2176075685717249</v>
      </c>
      <c r="H94" s="3" t="s">
        <v>183</v>
      </c>
      <c r="I94" s="237">
        <f>FV(H89,D93,0,-(H88/(C93-D94)))*Exchange_Rate</f>
        <v>4.2176075685717249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-4246997.6265262067</v>
      </c>
      <c r="D97" s="244"/>
      <c r="E97" s="245">
        <f>PV(C94,D93,0,-F93)</f>
        <v>-1.1844841578834604</v>
      </c>
      <c r="F97" s="244"/>
      <c r="H97" s="245">
        <f>PV(C94,D93,0,-I93)</f>
        <v>-1.1844841578834604</v>
      </c>
      <c r="I97" s="245">
        <f>PV(C93,D93,0,-I93)</f>
        <v>-1.5512677396608476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0</v>
      </c>
      <c r="E100" s="251">
        <f>MAX(E97+H98+E99,0)</f>
        <v>0</v>
      </c>
      <c r="F100" s="251">
        <f>(E100+H100)/2</f>
        <v>0</v>
      </c>
      <c r="H100" s="251">
        <f>MAX(H97+H98+H99,0)</f>
        <v>0</v>
      </c>
      <c r="I100" s="251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2.0497161935733317</v>
      </c>
      <c r="E103" s="245">
        <f>PV(C94,D93,0,-F94)</f>
        <v>2.4114308159686257</v>
      </c>
      <c r="F103" s="251">
        <f>(E103+H103)/2</f>
        <v>2.4114308159686257</v>
      </c>
      <c r="H103" s="245">
        <f>PV(C94,D93,0,-I94)</f>
        <v>2.4114308159686257</v>
      </c>
      <c r="I103" s="251">
        <f>PV(C93,D93,0,-I94)</f>
        <v>3.1581467817353559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1.0248580967866658</v>
      </c>
      <c r="E106" s="245">
        <f>(E100+E103)/2</f>
        <v>1.2057154079843129</v>
      </c>
      <c r="F106" s="251">
        <f>(F100+F103)/2</f>
        <v>1.2057154079843129</v>
      </c>
      <c r="H106" s="245">
        <f>(H100+H103)/2</f>
        <v>1.2057154079843129</v>
      </c>
      <c r="I106" s="245">
        <f>(I100+I103)/2</f>
        <v>1.579073390867678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2025-01-14T02:28:20Z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