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5250D61-EC06-4D79-B4B2-5D892453E220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1" i="4"/>
  <c r="F97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3" i="4"/>
  <c r="D50" i="4"/>
  <c r="D56" i="4" s="1"/>
  <c r="E92" i="4" l="1"/>
  <c r="F92" i="4"/>
  <c r="F96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<sst xmlns="http://schemas.openxmlformats.org/spreadsheetml/2006/main" count="405" uniqueCount="287">
  <si>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</si>
  <si>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</si>
  <si>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</si>
  <si>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</si>
  <si>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</si>
  <si>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</si>
  <si>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</si>
  <si>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</si>
  <si>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</si>
  <si>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</si>
  <si>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</si>
  <si>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</si>
  <si>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</si>
  <si>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</si>
  <si>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</si>
  <si>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</si>
  <si>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</si>
  <si>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</si>
  <si>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</si>
  <si>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</si>
  <si>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</si>
  <si>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</si>
  <si>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</si>
  <si>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</si>
  <si>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</si>
  <si>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</si>
  <si>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</si>
  <si>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</si>
  <si>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</si>
  <si>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</si>
  <si>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</si>
  <si>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</si>
  <si>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</si>
  <si>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</si>
  <si>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</si>
  <si>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</si>
  <si>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</si>
  <si>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</si>
  <si>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</si>
  <si>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</si>
  <si>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</si>
  <si>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</si>
  <si>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</si>
  <si>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</si>
  <si>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</si>
  <si>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</si>
  <si>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</si>
  <si>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</si>
  <si>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</si>
  <si>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</si>
  <si>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</si>
  <si>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</si>
  <si>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</si>
  <si>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</si>
  <si>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</si>
  <si>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</si>
  <si>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</si>
  <si>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</si>
  <si>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</si>
  <si>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</si>
  <si>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</si>
  <si>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</si>
  <si>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</si>
  <si>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</si>
  <si>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</si>
  <si>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</si>
  <si>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</si>
  <si>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</si>
  <si>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</si>
  <si>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</si>
  <si>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</si>
  <si>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</si>
  <si>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</si>
  <si>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</si>
  <si>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</si>
  <si>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</si>
  <si>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</si>
  <si>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</si>
  <si>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</si>
  <si>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</si>
  <si>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</si>
  <si>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</si>
  <si>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</si>
  <si>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</si>
  <si>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</si>
  <si>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</si>
  <si>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</si>
  <si>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</si>
  <si>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</si>
  <si>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</si>
  <si>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</si>
  <si>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</si>
  <si>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</si>
  <si>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</si>
  <si>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</si>
  <si>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</si>
  <si>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</si>
  <si>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</si>
  <si>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</si>
  <si>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</si>
  <si>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</si>
  <si>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</si>
  <si>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</si>
  <si>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</si>
  <si>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</si>
  <si>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</si>
  <si>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</si>
  <si>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</si>
  <si>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</si>
  <si>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</si>
  <si>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</si>
  <si>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</si>
  <si>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</si>
  <si>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</si>
  <si>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</si>
  <si>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</si>
  <si>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</si>
  <si>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</si>
  <si>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</si>
  <si>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</si>
  <si>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</si>
  <si>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</si>
  <si>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</si>
  <si>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</si>
  <si>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</si>
  <si>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</si>
  <si>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</si>
  <si>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</si>
  <si>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</si>
  <si>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</si>
  <si>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</si>
  <si>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</si>
  <si>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</si>
  <si>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</si>
  <si>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</si>
  <si>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</si>
  <si>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</si>
  <si>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</si>
  <si>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</si>
  <si>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</si>
  <si>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</si>
  <si>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</si>
  <si>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</si>
  <si>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</si>
  <si>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</si>
  <si>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</si>
  <si>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</si>
  <si>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</si>
  <si>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</si>
  <si>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</si>
  <si>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</si>
  <si>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</si>
  <si>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</si>
  <si>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</si>
  <si>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</si>
  <si>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</si>
  <si>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</si>
  <si>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</si>
  <si>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</si>
  <si>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</si>
  <si>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</si>
  <si>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</si>
  <si>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</si>
  <si>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</si>
  <si>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</si>
  <si>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</si>
  <si>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</si>
  <si>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</si>
  <si>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</si>
  <si>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</si>
  <si>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</si>
  <si>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</si>
  <si>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</si>
  <si>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</si>
  <si>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</si>
  <si>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</si>
  <si>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</si>
  <si>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</si>
  <si>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</si>
  <si>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</si>
  <si>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</si>
  <si>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</si>
  <si>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</si>
  <si>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</si>
  <si>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</si>
  <si>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</si>
  <si>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</si>
  <si>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</si>
  <si>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</si>
  <si>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</si>
  <si>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</si>
  <si>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</si>
  <si>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</si>
  <si>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</si>
  <si>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</si>
  <si>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</si>
  <si>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</si>
  <si>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</si>
  <si>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</si>
  <si>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</si>
  <si>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</si>
  <si>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</si>
  <si>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</si>
  <si>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</si>
  <si>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</si>
  <si>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</si>
  <si>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</si>
  <si>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</si>
  <si>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</si>
  <si>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</si>
  <si>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</si>
  <si>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</si>
  <si>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</si>
  <si>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</si>
  <si>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</si>
  <si>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</si>
  <si>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</si>
  <si>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</si>
  <si>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</si>
  <si>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</si>
  <si>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</si>
  <si>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</si>
  <si>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</si>
  <si>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</si>
  <si>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</si>
  <si>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</si>
  <si>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</si>
  <si>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</si>
  <si>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</si>
  <si>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</si>
  <si>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</si>
  <si>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</si>
  <si>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</si>
  <si>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</si>
  <si>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</si>
  <si>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</si>
  <si>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</si>
  <si>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</si>
  <si>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</si>
  <si>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</si>
  <si>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</si>
  <si>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</si>
  <si>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</si>
  <si>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</si>
  <si>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</si>
  <si>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</si>
  <si>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</si>
  <si>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</si>
  <si>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</si>
  <si>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</si>
  <si>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</si>
  <si>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</si>
  <si>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</si>
  <si>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</si>
  <si>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</si>
  <si>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</si>
  <si>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</si>
  <si>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</si>
  <si>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</si>
  <si>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</si>
  <si>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</si>
  <si>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</si>
  <si>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</si>
  <si>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</si>
  <si>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</si>
  <si>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</si>
  <si>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</si>
  <si>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</si>
  <si>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</si>
  <si>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</si>
  <si>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</si>
  <si>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</si>
  <si>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</si>
  <si>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</si>
  <si>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Profit</t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</si>
  <si>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</si>
  <si>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</si>
  <si>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</si>
  <si>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</si>
  <si>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</si>
  <si>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</si>
  <si>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</si>
  <si>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Unclear</t>
  </si>
  <si>
    <t>0175.HK</t>
  </si>
  <si>
    <t>吉利汽車</t>
  </si>
  <si>
    <t>C0006</t>
  </si>
  <si>
    <t>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</si>
</sst>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283</v>
      </c>
      <c r="D4" s="66"/>
    </row>
    <row r="5" spans="1:5" x14ac:dyDescent="0.35">
      <c r="B5" s="46" t="s">
        <v>168</v>
      </c>
      <c r="C5" s="67" t="s">
        <v>284</v>
      </c>
    </row>
    <row r="6" spans="1:5" x14ac:dyDescent="0.35">
      <c r="B6" s="46" t="s">
        <v>268</v>
      </c>
      <c r="C6" s="68">
        <v>45633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63</v>
      </c>
    </row>
    <row r="9" spans="1:5" x14ac:dyDescent="0.35">
      <c r="B9" s="39" t="s">
        <v>189</v>
      </c>
      <c r="C9" s="119" t="s">
        <v>285</v>
      </c>
    </row>
    <row r="10" spans="1:5" x14ac:dyDescent="0.35">
      <c r="B10" s="39" t="s">
        <v>190</v>
      </c>
      <c r="C10" s="70">
        <v>10071700480</v>
      </c>
    </row>
    <row r="11" spans="1:5" x14ac:dyDescent="0.35">
      <c r="B11" s="39" t="s">
        <v>191</v>
      </c>
      <c r="C11" s="69" t="s">
        <v>286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221</v>
      </c>
      <c r="C15" s="117" t="s">
        <v>164</v>
      </c>
    </row>
    <row r="16" spans="1:5" x14ac:dyDescent="0.35">
      <c r="B16" s="74" t="s">
        <v>88</v>
      </c>
      <c r="C16" s="120">
        <v>0.25</v>
      </c>
      <c r="D16" s="75"/>
      <c r="E16" s="25" t="s">
        <v>251</v>
      </c>
    </row>
    <row r="17" spans="2:13" x14ac:dyDescent="0.35">
      <c r="B17" s="56" t="s">
        <v>196</v>
      </c>
      <c r="C17" s="121" t="s">
        <v>214</v>
      </c>
      <c r="D17" s="75"/>
    </row>
    <row r="18" spans="2:13" x14ac:dyDescent="0.35">
      <c r="B18" s="56" t="s">
        <v>209</v>
      </c>
      <c r="C18" s="121" t="s">
        <v>214</v>
      </c>
      <c r="D18" s="75"/>
    </row>
    <row r="19" spans="2:13" x14ac:dyDescent="0.35">
      <c r="B19" s="56" t="s">
        <v>210</v>
      </c>
      <c r="C19" s="121" t="s">
        <v>214</v>
      </c>
      <c r="D19" s="75"/>
    </row>
    <row r="20" spans="2:13" x14ac:dyDescent="0.35">
      <c r="B20" s="57" t="s">
        <v>199</v>
      </c>
      <c r="C20" s="121" t="s">
        <v>214</v>
      </c>
      <c r="D20" s="75"/>
    </row>
    <row r="21" spans="2:13" x14ac:dyDescent="0.35">
      <c r="B21" s="2" t="s">
        <v>202</v>
      </c>
      <c r="C21" s="121" t="s">
        <v>214</v>
      </c>
      <c r="D21" s="75"/>
    </row>
    <row r="22" spans="2:13" ht="69.75" x14ac:dyDescent="0.35">
      <c r="B22" s="59" t="s">
        <v>201</v>
      </c>
      <c r="C22" s="122" t="s">
        <v>282</v>
      </c>
      <c r="D22" s="75"/>
    </row>
    <row r="24" spans="2:13" x14ac:dyDescent="0.35">
      <c r="B24" s="76" t="s">
        <v>278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179203592</v>
      </c>
      <c r="D25" s="77">
        <v>147964647</v>
      </c>
      <c r="E25" s="77">
        <v>101611056</v>
      </c>
      <c r="F25" s="77">
        <v>92113878</v>
      </c>
      <c r="G25" s="77">
        <v>0</v>
      </c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151788523</v>
      </c>
      <c r="D26" s="78">
        <v>127069010</v>
      </c>
      <c r="E26" s="78">
        <v>84198821</v>
      </c>
      <c r="F26" s="78">
        <v>77376859</v>
      </c>
      <c r="G26" s="78">
        <v>0</v>
      </c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v>23852114</v>
      </c>
      <c r="D27" s="78">
        <v>18320074</v>
      </c>
      <c r="E27" s="78">
        <v>14230292</v>
      </c>
      <c r="F27" s="78">
        <v>10798510</v>
      </c>
      <c r="G27" s="78">
        <v>0</v>
      </c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276</v>
      </c>
      <c r="C30" s="302"/>
      <c r="D30" s="302"/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/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v>0.19021246747798443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>
        <f>IF(C44="","",C44*Exchange_Rate/Dashboard!$G$3)</f>
        <v>1.4715758062209455E-2</v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/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/>
      <c r="D50" s="109">
        <f>D51</f>
        <v>0.6</v>
      </c>
      <c r="E50" s="260"/>
    </row>
    <row r="51" spans="2:5" x14ac:dyDescent="0.35">
      <c r="B51" s="9" t="s">
        <v>34</v>
      </c>
      <c r="C51" s="86"/>
      <c r="D51" s="109">
        <v>0.6</v>
      </c>
      <c r="E51" s="260"/>
    </row>
    <row r="52" spans="2:5" x14ac:dyDescent="0.35">
      <c r="B52" s="9" t="s">
        <v>36</v>
      </c>
      <c r="C52" s="86"/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226</v>
      </c>
      <c r="C54" s="86"/>
      <c r="D54" s="109">
        <v>0.1</v>
      </c>
      <c r="E54" s="260"/>
    </row>
    <row r="55" spans="2:5" x14ac:dyDescent="0.35">
      <c r="B55" s="9" t="s">
        <v>39</v>
      </c>
      <c r="C55" s="86"/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225</v>
      </c>
      <c r="C64" s="86"/>
      <c r="D64" s="109">
        <v>0.4</v>
      </c>
      <c r="E64" s="260"/>
    </row>
    <row r="65" spans="2:5" x14ac:dyDescent="0.35">
      <c r="B65" s="9" t="s">
        <v>62</v>
      </c>
      <c r="C65" s="86"/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0.2</v>
      </c>
      <c r="E66" s="261" t="s">
        <v>63</v>
      </c>
    </row>
    <row r="67" spans="2:5" x14ac:dyDescent="0.35">
      <c r="B67" s="2" t="s">
        <v>41</v>
      </c>
      <c r="C67" s="86"/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/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/>
      <c r="D70" s="109">
        <v>0.05</v>
      </c>
      <c r="E70" s="260"/>
    </row>
    <row r="71" spans="2:5" x14ac:dyDescent="0.35">
      <c r="B71" s="9" t="s">
        <v>67</v>
      </c>
      <c r="C71" s="86"/>
      <c r="D71" s="109">
        <f>D58</f>
        <v>0.9</v>
      </c>
      <c r="E71" s="260"/>
    </row>
    <row r="72" spans="2:5" ht="12" thickBot="1" x14ac:dyDescent="0.4">
      <c r="B72" s="89" t="s">
        <v>68</v>
      </c>
      <c r="C72" s="90"/>
      <c r="D72" s="111">
        <v>0</v>
      </c>
      <c r="E72" s="262"/>
    </row>
    <row r="73" spans="2:5" x14ac:dyDescent="0.35">
      <c r="B73" s="9" t="s">
        <v>31</v>
      </c>
      <c r="C73" s="86"/>
    </row>
    <row r="74" spans="2:5" x14ac:dyDescent="0.35">
      <c r="B74" s="9" t="s">
        <v>32</v>
      </c>
      <c r="C74" s="86"/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/>
    </row>
    <row r="78" spans="2:5" ht="12" thickTop="1" x14ac:dyDescent="0.35">
      <c r="B78" s="9" t="s">
        <v>54</v>
      </c>
      <c r="C78" s="86"/>
    </row>
    <row r="79" spans="2:5" x14ac:dyDescent="0.35">
      <c r="B79" s="9" t="s">
        <v>56</v>
      </c>
      <c r="C79" s="86"/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277</v>
      </c>
      <c r="C82" s="79"/>
    </row>
    <row r="83" spans="2:8" hidden="1" x14ac:dyDescent="0.35">
      <c r="B83" s="300" t="s">
        <v>246</v>
      </c>
      <c r="C83" s="79"/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274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1000CNY)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179203592</v>
      </c>
      <c r="D91" s="98"/>
      <c r="E91" s="99">
        <f>C91</f>
        <v>179203592</v>
      </c>
      <c r="F91" s="99">
        <f>C91</f>
        <v>179203592</v>
      </c>
    </row>
    <row r="92" spans="2:8" x14ac:dyDescent="0.35">
      <c r="B92" s="100" t="s">
        <v>97</v>
      </c>
      <c r="C92" s="97">
        <f>C26</f>
        <v>151788523</v>
      </c>
      <c r="D92" s="101">
        <f>C92/C91</f>
        <v>0.8470171903697109</v>
      </c>
      <c r="E92" s="102">
        <f>E91*D92</f>
        <v>151788523</v>
      </c>
      <c r="F92" s="102">
        <f>F91*D92</f>
        <v>151788523</v>
      </c>
    </row>
    <row r="93" spans="2:8" x14ac:dyDescent="0.35">
      <c r="B93" s="100" t="s">
        <v>216</v>
      </c>
      <c r="C93" s="97">
        <f>C27+C28</f>
        <v>23852114</v>
      </c>
      <c r="D93" s="101">
        <f>C93/C91</f>
        <v>0.13310064677721414</v>
      </c>
      <c r="E93" s="102">
        <f>E91*D93</f>
        <v>23852114</v>
      </c>
      <c r="F93" s="102">
        <f>F91*D93</f>
        <v>23852114</v>
      </c>
    </row>
    <row r="94" spans="2:8" x14ac:dyDescent="0.35">
      <c r="B94" s="100" t="s">
        <v>222</v>
      </c>
      <c r="C94" s="97">
        <f>C29</f>
        <v>0</v>
      </c>
      <c r="D94" s="101">
        <f>C94/C91</f>
        <v>0</v>
      </c>
      <c r="E94" s="103"/>
      <c r="F94" s="102">
        <f>F91*D94</f>
        <v>0</v>
      </c>
    </row>
    <row r="95" spans="2:8" x14ac:dyDescent="0.35">
      <c r="B95" s="18" t="s">
        <v>215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0</v>
      </c>
      <c r="D97" s="101">
        <f>C97/C91</f>
        <v>0</v>
      </c>
      <c r="E97" s="103"/>
      <c r="F97" s="102">
        <f>F91*D97</f>
        <v>0</v>
      </c>
    </row>
    <row r="98" spans="2:6" x14ac:dyDescent="0.35">
      <c r="B98" s="8" t="s">
        <v>180</v>
      </c>
      <c r="C98" s="104">
        <f>C44</f>
        <v>0.19021246747798443</v>
      </c>
      <c r="D98" s="105"/>
      <c r="E98" s="106">
        <f>F98</f>
        <v>0.19021246747798443</v>
      </c>
      <c r="F98" s="106">
        <f>C98</f>
        <v>0.19021246747798443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0175.HK : 吉利汽車</v>
      </c>
      <c r="D2" s="3"/>
      <c r="E2" s="7"/>
      <c r="F2" s="7"/>
      <c r="G2" s="314" t="str">
        <f>IF(Inputs!D4="","",Inputs!D4)</f>
        <v/>
      </c>
      <c r="H2" s="314"/>
    </row>
    <row r="3" spans="1:10" ht="15.75" customHeight="1" x14ac:dyDescent="0.35">
      <c r="B3" s="9" t="s">
        <v>167</v>
      </c>
      <c r="C3" s="312" t="str">
        <f>Inputs!C4</f>
        <v>0175.HK</v>
      </c>
      <c r="D3" s="313"/>
      <c r="E3" s="3"/>
      <c r="F3" s="9" t="s">
        <v>1</v>
      </c>
      <c r="G3" s="10">
        <v>13.72</v>
      </c>
      <c r="H3" s="11" t="s">
        <v>256</v>
      </c>
    </row>
    <row r="4" spans="1:10" ht="15.75" customHeight="1" x14ac:dyDescent="0.35">
      <c r="B4" s="12" t="s">
        <v>168</v>
      </c>
      <c r="C4" s="314" t="str">
        <f>Inputs!C5</f>
        <v>吉利汽車</v>
      </c>
      <c r="D4" s="315"/>
      <c r="E4" s="3"/>
      <c r="F4" s="9" t="s">
        <v>2</v>
      </c>
      <c r="G4" s="318">
        <f>Inputs!C10</f>
        <v>10071700480</v>
      </c>
      <c r="H4" s="318"/>
      <c r="I4" s="14"/>
    </row>
    <row r="5" spans="1:10" ht="15.75" customHeight="1" x14ac:dyDescent="0.35">
      <c r="B5" s="9" t="s">
        <v>145</v>
      </c>
      <c r="C5" s="316">
        <f>Inputs!C6</f>
        <v>45633</v>
      </c>
      <c r="D5" s="317"/>
      <c r="E5" s="16"/>
      <c r="F5" s="12" t="s">
        <v>91</v>
      </c>
      <c r="G5" s="321">
        <f>G3*G4/1000000</f>
        <v>138183.73058560002</v>
      </c>
      <c r="H5" s="321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22" t="str">
        <f>Inputs!C11</f>
        <v>CNY</v>
      </c>
      <c r="H6" s="322"/>
      <c r="I6" s="17"/>
    </row>
    <row r="7" spans="1:10" ht="15.75" customHeight="1" x14ac:dyDescent="0.35">
      <c r="B7" s="8" t="s">
        <v>165</v>
      </c>
      <c r="C7" s="123" t="str">
        <f>Inputs!C8</f>
        <v>N</v>
      </c>
      <c r="D7" s="123" t="str">
        <f>Inputs!C9</f>
        <v>C0006</v>
      </c>
      <c r="E7" s="3"/>
      <c r="F7" s="12" t="s">
        <v>5</v>
      </c>
      <c r="G7" s="21">
        <v>1.061445673306783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3" t="s">
        <v>257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HK</v>
      </c>
      <c r="F16" s="25" t="s">
        <v>155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233</v>
      </c>
      <c r="C20" s="31" t="e">
        <f>C21*C22*C23</f>
        <v>#DIV/0!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1.9882162853074953E-2</v>
      </c>
      <c r="F21" s="3"/>
      <c r="G21" s="34"/>
    </row>
    <row r="22" spans="1:8" ht="15.75" customHeight="1" x14ac:dyDescent="0.35">
      <c r="B22" s="35" t="s">
        <v>244</v>
      </c>
      <c r="C22" s="36" t="e">
        <f>Data!C50</f>
        <v>#DIV/0!</v>
      </c>
      <c r="F22" s="83" t="s">
        <v>258</v>
      </c>
      <c r="G22" s="285"/>
      <c r="H22" s="285"/>
    </row>
    <row r="23" spans="1:8" ht="15.75" customHeight="1" thickBot="1" x14ac:dyDescent="0.4">
      <c r="B23" s="37" t="s">
        <v>250</v>
      </c>
      <c r="C23" s="38" t="e">
        <f>1/Data!C55</f>
        <v>#DIV/0!</v>
      </c>
      <c r="F23" s="39" t="s">
        <v>163</v>
      </c>
      <c r="G23" s="40" t="e">
        <f>G3/(Data!C36*Data!C4/Common_Shares*Exchange_Rate)</f>
        <v>#DIV/0!</v>
      </c>
    </row>
    <row r="24" spans="1:8" ht="15.75" customHeight="1" x14ac:dyDescent="0.35">
      <c r="B24" s="41" t="s">
        <v>239</v>
      </c>
      <c r="C24" s="42">
        <f>Fin_Analysis!I81</f>
        <v>0</v>
      </c>
      <c r="F24" s="39" t="s">
        <v>224</v>
      </c>
      <c r="G24" s="43">
        <f>G3/(Fin_Analysis!H86*G7)</f>
        <v>48.717785791868238</v>
      </c>
    </row>
    <row r="25" spans="1:8" ht="15.75" customHeight="1" x14ac:dyDescent="0.35">
      <c r="B25" s="28" t="s">
        <v>240</v>
      </c>
      <c r="C25" s="44">
        <f>Fin_Analysis!I80</f>
        <v>0</v>
      </c>
      <c r="F25" s="39" t="s">
        <v>151</v>
      </c>
      <c r="G25" s="44">
        <f>Fin_Analysis!I88</f>
        <v>0.71691914903967835</v>
      </c>
    </row>
    <row r="26" spans="1:8" ht="15.75" customHeight="1" x14ac:dyDescent="0.35">
      <c r="B26" s="45" t="s">
        <v>241</v>
      </c>
      <c r="C26" s="44">
        <f>Fin_Analysis!I80+Fin_Analysis!I82</f>
        <v>0</v>
      </c>
      <c r="F26" s="46" t="s">
        <v>166</v>
      </c>
      <c r="G26" s="47">
        <f>Fin_Analysis!H88*Exchange_Rate/G3</f>
        <v>1.4715758062209455E-2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9" t="s">
        <v>223</v>
      </c>
      <c r="H28" s="319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2.6991585376514537</v>
      </c>
      <c r="D29" s="54">
        <f>G29*(1+G20)</f>
        <v>4.782608298248948</v>
      </c>
      <c r="E29" s="3"/>
      <c r="F29" s="55">
        <f>IF(Fin_Analysis!C108="Profit",Fin_Analysis!F100,IF(Fin_Analysis!C108="Dividend",Fin_Analysis!F103,Fin_Analysis!F106))</f>
        <v>3.175480632531122</v>
      </c>
      <c r="G29" s="320">
        <f>IF(Fin_Analysis!C108="Profit",Fin_Analysis!I100,IF(Fin_Analysis!C108="Dividend",Fin_Analysis!I103,Fin_Analysis!I106))</f>
        <v>4.1587898245643027</v>
      </c>
      <c r="H29" s="320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unclear</v>
      </c>
    </row>
    <row r="34" spans="1:4" ht="15.75" customHeight="1" x14ac:dyDescent="0.35">
      <c r="B34" s="57" t="s">
        <v>197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257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unclear</v>
      </c>
    </row>
    <row r="37" spans="1:4" ht="15.75" customHeight="1" x14ac:dyDescent="0.35">
      <c r="B37" s="56" t="s">
        <v>210</v>
      </c>
      <c r="C37" s="112" t="str">
        <f>Inputs!C19</f>
        <v>unclear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unclear</v>
      </c>
    </row>
    <row r="40" spans="1:4" ht="15.75" customHeight="1" x14ac:dyDescent="0.35">
      <c r="B40" s="2" t="s">
        <v>202</v>
      </c>
      <c r="C40" s="112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3562955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</v>
      </c>
      <c r="D4" s="2" t="str">
        <f>Dashboard!G6</f>
        <v>CNY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179203592</v>
      </c>
      <c r="D6" s="142">
        <f>IF(Inputs!D25="","",Inputs!D25)</f>
        <v>147964647</v>
      </c>
      <c r="E6" s="142">
        <f>IF(Inputs!E25="","",Inputs!E25)</f>
        <v>101611056</v>
      </c>
      <c r="F6" s="142">
        <f>IF(Inputs!F25="","",Inputs!F25)</f>
        <v>92113878</v>
      </c>
      <c r="G6" s="142">
        <f>IF(Inputs!G25="","",Inputs!G25)</f>
        <v>0</v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0.21112438432675074</v>
      </c>
      <c r="D7" s="143">
        <f t="shared" si="1"/>
        <v>0.45618649017878532</v>
      </c>
      <c r="E7" s="143">
        <f t="shared" si="1"/>
        <v>0.10310257483676888</v>
      </c>
      <c r="F7" s="143" t="e">
        <f t="shared" si="1"/>
        <v>#DIV/0!</v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151788523</v>
      </c>
      <c r="D8" s="144">
        <f>IF(Inputs!D26="","",Inputs!D26)</f>
        <v>127069010</v>
      </c>
      <c r="E8" s="144">
        <f>IF(Inputs!E26="","",Inputs!E26)</f>
        <v>84198821</v>
      </c>
      <c r="F8" s="144">
        <f>IF(Inputs!F26="","",Inputs!F26)</f>
        <v>77376859</v>
      </c>
      <c r="G8" s="144">
        <f>IF(Inputs!G26="","",Inputs!G26)</f>
        <v>0</v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27415069</v>
      </c>
      <c r="D9" s="273">
        <f t="shared" si="2"/>
        <v>20895637</v>
      </c>
      <c r="E9" s="273">
        <f t="shared" si="2"/>
        <v>17412235</v>
      </c>
      <c r="F9" s="273">
        <f t="shared" si="2"/>
        <v>14737019</v>
      </c>
      <c r="G9" s="273">
        <f t="shared" si="2"/>
        <v>0</v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23852114</v>
      </c>
      <c r="D10" s="144">
        <f>IF(Inputs!D27="","",Inputs!D27)</f>
        <v>18320074</v>
      </c>
      <c r="E10" s="144">
        <f>IF(Inputs!E27="","",Inputs!E27)</f>
        <v>14230292</v>
      </c>
      <c r="F10" s="144">
        <f>IF(Inputs!F27="","",Inputs!F27)</f>
        <v>10798510</v>
      </c>
      <c r="G10" s="144">
        <f>IF(Inputs!G27="","",Inputs!G27)</f>
        <v>0</v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 t="str">
        <f>IF(Inputs!C31="","",MAX(Inputs!C31,0)/(1-Fin_Analysis!$I$84))</f>
        <v/>
      </c>
      <c r="D12" s="144" t="str">
        <f>IF(Inputs!D31="","",MAX(Inputs!D31,0)/(1-Fin_Analysis!$I$84))</f>
        <v/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1.9882162853074953E-2</v>
      </c>
      <c r="D13" s="292">
        <f t="shared" si="3"/>
        <v>1.7406610648015131E-2</v>
      </c>
      <c r="E13" s="292">
        <f t="shared" si="3"/>
        <v>3.1314928958124398E-2</v>
      </c>
      <c r="F13" s="292">
        <f t="shared" si="3"/>
        <v>4.2756955689130793E-2</v>
      </c>
      <c r="G13" s="292" t="e">
        <f t="shared" si="3"/>
        <v>#DIV/0!</v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3562955</v>
      </c>
      <c r="D14" s="294">
        <f t="shared" ref="D14:M14" si="4">IF(D6="","",D9-D10-MAX(D11,0)-MAX(D12,0))</f>
        <v>2575563</v>
      </c>
      <c r="E14" s="294">
        <f t="shared" si="4"/>
        <v>3181943</v>
      </c>
      <c r="F14" s="294">
        <f t="shared" si="4"/>
        <v>3938509</v>
      </c>
      <c r="G14" s="294">
        <f t="shared" si="4"/>
        <v>0</v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0.38336938370367957</v>
      </c>
      <c r="D15" s="296">
        <f t="shared" ref="D15:M15" si="5">IF(E14="","",IF(ABS(D14+E14)=ABS(D14)+ABS(E14),IF(D14&lt;0,-1,1)*(D14-E14)/E14,"Turn"))</f>
        <v>-0.19056909567518965</v>
      </c>
      <c r="E15" s="296">
        <f t="shared" si="5"/>
        <v>-0.19209452104844751</v>
      </c>
      <c r="F15" s="296" t="e">
        <f t="shared" si="5"/>
        <v>#DIV/0!</v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279</v>
      </c>
      <c r="C16" s="147" t="str">
        <f>IF(C17="","",C17-C14)</f>
        <v/>
      </c>
      <c r="D16" s="147" t="str">
        <f t="shared" ref="D16:M16" si="6">IF(D17="","",D17-D14)</f>
        <v/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276</v>
      </c>
      <c r="C17" s="307" t="str">
        <f>IF(Inputs!C30="","",Inputs!C30)</f>
        <v/>
      </c>
      <c r="D17" s="307" t="str">
        <f>IF(Inputs!D30="","",Inputs!D30)</f>
        <v/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 t="str">
        <f>IF(Inputs!C29="","",Inputs!C29)</f>
        <v/>
      </c>
      <c r="D19" s="144" t="str">
        <f>IF(Inputs!D29="","",Inputs!D29)</f>
        <v/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0</v>
      </c>
      <c r="D22" s="227">
        <f t="shared" si="8"/>
        <v>0</v>
      </c>
      <c r="E22" s="227">
        <f t="shared" si="8"/>
        <v>0</v>
      </c>
      <c r="F22" s="227">
        <f t="shared" si="8"/>
        <v>0</v>
      </c>
      <c r="G22" s="227" t="e">
        <f t="shared" si="8"/>
        <v>#DIV/0!</v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280</v>
      </c>
      <c r="C24" s="309">
        <f t="shared" ref="C24:M24" si="9">IF(C6="","",C14-MAX(C18,0)-MAX(C19,0)-ABS(MAX(C23,0)-MAX(C21,0)))</f>
        <v>3562955</v>
      </c>
      <c r="D24" s="309">
        <f t="shared" si="9"/>
        <v>2575563</v>
      </c>
      <c r="E24" s="309">
        <f t="shared" si="9"/>
        <v>3181943</v>
      </c>
      <c r="F24" s="309">
        <f t="shared" si="9"/>
        <v>3938509</v>
      </c>
      <c r="G24" s="309">
        <f t="shared" si="9"/>
        <v>0</v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1.4911622139806216E-2</v>
      </c>
      <c r="D25" s="143">
        <f t="shared" si="10"/>
        <v>1.3054957986011348E-2</v>
      </c>
      <c r="E25" s="143">
        <f t="shared" si="10"/>
        <v>2.34861967185933E-2</v>
      </c>
      <c r="F25" s="143">
        <f t="shared" si="10"/>
        <v>3.2067716766848095E-2</v>
      </c>
      <c r="G25" s="143" t="e">
        <f t="shared" si="10"/>
        <v>#DIV/0!</v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281</v>
      </c>
      <c r="C26" s="275">
        <f>IF(C6="","",C24*(1-Fin_Analysis!$I$84))</f>
        <v>2672216.25</v>
      </c>
      <c r="D26" s="276">
        <f>IF(D6="","",D24*(1-Fin_Analysis!$I$84))</f>
        <v>1931672.25</v>
      </c>
      <c r="E26" s="276">
        <f>IF(E6="","",E24*(1-Fin_Analysis!$I$84))</f>
        <v>2386457.25</v>
      </c>
      <c r="F26" s="276">
        <f>IF(F6="","",F24*(1-Fin_Analysis!$I$84))</f>
        <v>2953881.75</v>
      </c>
      <c r="G26" s="276">
        <f>IF(G6="","",G24*(1-Fin_Analysis!$I$84))</f>
        <v>0</v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0.38336938370367957</v>
      </c>
      <c r="D27" s="305">
        <f t="shared" si="11"/>
        <v>-0.19056909567518965</v>
      </c>
      <c r="E27" s="305">
        <f t="shared" si="11"/>
        <v>-0.19209452104844751</v>
      </c>
      <c r="F27" s="305" t="e">
        <f t="shared" si="11"/>
        <v>#DIV/0!</v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0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0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0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0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0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 t="e">
        <f>IF(C6="","",C14/MAX(C39,0))</f>
        <v>#DIV/0!</v>
      </c>
      <c r="D40" s="148" t="e">
        <f>IF(D6="","",D14/MAX(D39,0))</f>
        <v>#DIV/0!</v>
      </c>
      <c r="E40" s="148" t="e">
        <f>IF(E6="","",E14/MAX(E39,0))</f>
        <v>#DIV/0!</v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0.8470171903697109</v>
      </c>
      <c r="D42" s="150">
        <f t="shared" si="35"/>
        <v>0.85877952995082674</v>
      </c>
      <c r="E42" s="150">
        <f t="shared" si="35"/>
        <v>0.82863838163437653</v>
      </c>
      <c r="F42" s="150">
        <f t="shared" si="35"/>
        <v>0.84001304342001537</v>
      </c>
      <c r="G42" s="150" t="e">
        <f t="shared" si="35"/>
        <v>#DIV/0!</v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0.13310064677721414</v>
      </c>
      <c r="D43" s="146">
        <f t="shared" si="36"/>
        <v>0.12381385940115817</v>
      </c>
      <c r="E43" s="146">
        <f t="shared" si="36"/>
        <v>0.14004668940749912</v>
      </c>
      <c r="F43" s="146">
        <f t="shared" si="36"/>
        <v>0.11723000089085382</v>
      </c>
      <c r="G43" s="146" t="e">
        <f t="shared" si="36"/>
        <v>#DIV/0!</v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>
        <f t="shared" si="37"/>
        <v>0</v>
      </c>
      <c r="F44" s="146">
        <f t="shared" si="37"/>
        <v>0</v>
      </c>
      <c r="G44" s="146" t="e">
        <f t="shared" si="37"/>
        <v>#DIV/0!</v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0</v>
      </c>
      <c r="D45" s="146">
        <f t="shared" si="38"/>
        <v>0</v>
      </c>
      <c r="E45" s="146">
        <f t="shared" si="38"/>
        <v>0</v>
      </c>
      <c r="F45" s="146">
        <f t="shared" si="38"/>
        <v>0</v>
      </c>
      <c r="G45" s="146" t="e">
        <f t="shared" si="38"/>
        <v>#DIV/0!</v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0</v>
      </c>
      <c r="D46" s="146">
        <f t="shared" si="39"/>
        <v>0</v>
      </c>
      <c r="E46" s="146">
        <f t="shared" si="39"/>
        <v>0</v>
      </c>
      <c r="F46" s="146">
        <f t="shared" si="39"/>
        <v>0</v>
      </c>
      <c r="G46" s="146" t="e">
        <f t="shared" si="39"/>
        <v>#DIV/0!</v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0</v>
      </c>
      <c r="D47" s="146">
        <f t="shared" si="40"/>
        <v>0</v>
      </c>
      <c r="E47" s="146">
        <f t="shared" si="40"/>
        <v>0</v>
      </c>
      <c r="F47" s="146">
        <f t="shared" si="40"/>
        <v>0</v>
      </c>
      <c r="G47" s="146" t="e">
        <f t="shared" si="40"/>
        <v>#DIV/0!</v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1.9882162853074953E-2</v>
      </c>
      <c r="D48" s="281">
        <f t="shared" si="41"/>
        <v>1.7406610648015131E-2</v>
      </c>
      <c r="E48" s="281">
        <f t="shared" si="41"/>
        <v>3.1314928958124398E-2</v>
      </c>
      <c r="F48" s="281">
        <f t="shared" si="41"/>
        <v>4.2756955689130793E-2</v>
      </c>
      <c r="G48" s="281" t="e">
        <f t="shared" si="41"/>
        <v>#DIV/0!</v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 t="e">
        <f t="shared" ref="C50:M50" si="42">IF(C6="","",C6/C29)</f>
        <v>#DIV/0!</v>
      </c>
      <c r="D50" s="153" t="e">
        <f t="shared" si="42"/>
        <v>#VALUE!</v>
      </c>
      <c r="E50" s="153" t="e">
        <f t="shared" si="42"/>
        <v>#VALUE!</v>
      </c>
      <c r="F50" s="153" t="e">
        <f t="shared" si="42"/>
        <v>#VALUE!</v>
      </c>
      <c r="G50" s="153" t="e">
        <f t="shared" si="42"/>
        <v>#VALUE!</v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 t="e">
        <f t="shared" ref="C53:M53" si="45">IF(D6="","",C18/(C6-D6))</f>
        <v>#VALUE!</v>
      </c>
      <c r="D53" s="146" t="e">
        <f t="shared" si="45"/>
        <v>#VALUE!</v>
      </c>
      <c r="E53" s="146" t="e">
        <f t="shared" si="45"/>
        <v>#VALUE!</v>
      </c>
      <c r="F53" s="146" t="e">
        <f t="shared" si="45"/>
        <v>#VALUE!</v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 t="e">
        <f t="shared" ref="C55:M55" si="46">IF(C36="","",(C36-C37)/C29)</f>
        <v>#DIV/0!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 t="str">
        <f t="shared" ref="C57:M57" si="48">IF(C24="","",IF(MAX(C19,0)&lt;=0,"-",C19/C24))</f>
        <v>-</v>
      </c>
      <c r="D57" s="146" t="str">
        <f t="shared" si="48"/>
        <v>-</v>
      </c>
      <c r="E57" s="146" t="str">
        <f t="shared" si="48"/>
        <v>-</v>
      </c>
      <c r="F57" s="146" t="str">
        <f t="shared" si="48"/>
        <v>-</v>
      </c>
      <c r="G57" s="146" t="str">
        <f t="shared" si="48"/>
        <v>-</v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 t="e">
        <f t="shared" ref="C60:M60" si="50">IF(C14="","",C14/(C36-C37))</f>
        <v>#DIV/0!</v>
      </c>
      <c r="D60" s="156" t="e">
        <f t="shared" si="50"/>
        <v>#VALUE!</v>
      </c>
      <c r="E60" s="156" t="e">
        <f t="shared" si="50"/>
        <v>#VALUE!</v>
      </c>
      <c r="F60" s="156" t="e">
        <f t="shared" si="50"/>
        <v>#VALUE!</v>
      </c>
      <c r="G60" s="156" t="e">
        <f t="shared" si="50"/>
        <v>#VALUE!</v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 t="e">
        <f t="shared" ref="C61:M61" si="51">IF(C24="","",C24/(C36-C37))</f>
        <v>#DIV/0!</v>
      </c>
      <c r="D61" s="156" t="e">
        <f t="shared" si="51"/>
        <v>#VALUE!</v>
      </c>
      <c r="E61" s="156" t="e">
        <f t="shared" si="51"/>
        <v>#VALUE!</v>
      </c>
      <c r="F61" s="156" t="e">
        <f t="shared" si="51"/>
        <v>#VALUE!</v>
      </c>
      <c r="G61" s="156" t="e">
        <f t="shared" si="51"/>
        <v>#VALUE!</v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261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0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0</v>
      </c>
      <c r="K3" s="75"/>
    </row>
    <row r="4" spans="1:11" ht="15" customHeight="1" x14ac:dyDescent="0.35">
      <c r="B4" s="9" t="s">
        <v>21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69">
        <f>(E49-I49-E53)</f>
        <v>0</v>
      </c>
      <c r="E6" s="170" t="e">
        <f>1-D6/D3</f>
        <v>#DIV/0!</v>
      </c>
      <c r="F6" s="3"/>
      <c r="G6" s="3"/>
      <c r="H6" s="2" t="s">
        <v>24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25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260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273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31</v>
      </c>
      <c r="I11" s="175">
        <f>Inputs!C73</f>
        <v>0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0</v>
      </c>
      <c r="J12" s="3"/>
      <c r="K12" s="75"/>
    </row>
    <row r="13" spans="1:11" ht="11.65" x14ac:dyDescent="0.35">
      <c r="B13" s="9" t="s">
        <v>105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0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47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48</v>
      </c>
      <c r="I25" s="168" t="e">
        <f>E28/I28</f>
        <v>#DIV/0!</v>
      </c>
    </row>
    <row r="26" spans="2:10" ht="15" customHeight="1" x14ac:dyDescent="0.35">
      <c r="B26" s="183" t="s">
        <v>49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50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52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14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15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0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0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0</v>
      </c>
      <c r="J34" s="3"/>
    </row>
    <row r="35" spans="2:10" ht="11.65" x14ac:dyDescent="0.35">
      <c r="B35" s="9" t="s">
        <v>62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73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74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75</v>
      </c>
      <c r="I47" s="168" t="e">
        <f>(E44+E45+E24+E25)/$I$49</f>
        <v>#DIV/0!</v>
      </c>
      <c r="J47" s="187" t="e">
        <f>IF(OR(I47&lt;0.5,C49&lt;I49),"Liquidity Issue!","")</f>
        <v>#DIV/0!</v>
      </c>
    </row>
    <row r="48" spans="2:10" ht="15" customHeight="1" thickBot="1" x14ac:dyDescent="0.4">
      <c r="B48" s="91" t="s">
        <v>76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77</v>
      </c>
      <c r="I48" s="197">
        <f>I49-I28</f>
        <v>0</v>
      </c>
      <c r="J48" s="187"/>
    </row>
    <row r="49" spans="2:11" ht="15" customHeight="1" thickTop="1" x14ac:dyDescent="0.35">
      <c r="B49" s="9" t="s">
        <v>13</v>
      </c>
      <c r="C49" s="184">
        <f>Inputs!C41+Inputs!C37</f>
        <v>0</v>
      </c>
      <c r="D49" s="170" t="e">
        <f>E49/C49</f>
        <v>#DIV/0!</v>
      </c>
      <c r="E49" s="176">
        <f>E28+E48</f>
        <v>0</v>
      </c>
      <c r="F49" s="3"/>
      <c r="G49" s="3"/>
      <c r="H49" s="9" t="s">
        <v>78</v>
      </c>
      <c r="I49" s="175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259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0</v>
      </c>
      <c r="E56" s="317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18">
        <f>Inputs!C84</f>
        <v>0</v>
      </c>
      <c r="E57" s="317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18">
        <f>Inputs!C85</f>
        <v>0</v>
      </c>
      <c r="E58" s="317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253</v>
      </c>
      <c r="I61" s="203">
        <f>C99*Data!$C$4/Common_Shares</f>
        <v>0</v>
      </c>
      <c r="K61" s="172"/>
    </row>
    <row r="62" spans="2:11" ht="11.65" x14ac:dyDescent="0.35">
      <c r="B62" s="12" t="s">
        <v>127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275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254</v>
      </c>
      <c r="I63" s="207">
        <f>IF(I61&gt;0,FV(I62,D93,0,-I61),I61)</f>
        <v>0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0</v>
      </c>
      <c r="F64" s="3"/>
      <c r="G64" s="3"/>
      <c r="H64" s="2" t="s">
        <v>255</v>
      </c>
      <c r="I64" s="207">
        <f>IF(I61&gt;0,PV(C94,D93,0,-I63),I61)</f>
        <v>0</v>
      </c>
      <c r="K64" s="172"/>
    </row>
    <row r="65" spans="1:11" ht="12" thickTop="1" x14ac:dyDescent="0.35">
      <c r="B65" s="9" t="s">
        <v>130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0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0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0</v>
      </c>
      <c r="D70" s="34">
        <f t="shared" si="2"/>
        <v>0</v>
      </c>
      <c r="E70" s="202">
        <f>E68-E69</f>
        <v>0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1000CNY)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179203592</v>
      </c>
      <c r="D74" s="98"/>
      <c r="E74" s="256">
        <f>Inputs!E91</f>
        <v>179203592</v>
      </c>
      <c r="F74" s="98"/>
      <c r="H74" s="256">
        <f>Inputs!F91</f>
        <v>179203592</v>
      </c>
      <c r="I74" s="98"/>
      <c r="K74" s="75"/>
    </row>
    <row r="75" spans="1:11" ht="15" customHeight="1" x14ac:dyDescent="0.35">
      <c r="B75" s="100" t="s">
        <v>97</v>
      </c>
      <c r="C75" s="97">
        <f>Data!C8</f>
        <v>151788523</v>
      </c>
      <c r="D75" s="101">
        <f>C75/$C$74</f>
        <v>0.8470171903697109</v>
      </c>
      <c r="E75" s="256">
        <f>Inputs!E92</f>
        <v>151788523</v>
      </c>
      <c r="F75" s="211">
        <f>E75/E74</f>
        <v>0.8470171903697109</v>
      </c>
      <c r="H75" s="256">
        <f>Inputs!F92</f>
        <v>151788523</v>
      </c>
      <c r="I75" s="211">
        <f>H75/$H$74</f>
        <v>0.8470171903697109</v>
      </c>
      <c r="K75" s="75"/>
    </row>
    <row r="76" spans="1:11" ht="15" customHeight="1" x14ac:dyDescent="0.35">
      <c r="B76" s="12" t="s">
        <v>87</v>
      </c>
      <c r="C76" s="145">
        <f>C74-C75</f>
        <v>27415069</v>
      </c>
      <c r="D76" s="212"/>
      <c r="E76" s="213">
        <f>E74-E75</f>
        <v>27415069</v>
      </c>
      <c r="F76" s="212"/>
      <c r="H76" s="213">
        <f>H74-H75</f>
        <v>27415069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23852114</v>
      </c>
      <c r="D77" s="101">
        <f>C77/$C$74</f>
        <v>0.13310064677721414</v>
      </c>
      <c r="E77" s="256">
        <f>Inputs!E93</f>
        <v>23852114</v>
      </c>
      <c r="F77" s="211">
        <f>E77/E74</f>
        <v>0.13310064677721414</v>
      </c>
      <c r="H77" s="256">
        <f>Inputs!F93</f>
        <v>23852114</v>
      </c>
      <c r="I77" s="211">
        <f>H77/$H$74</f>
        <v>0.13310064677721414</v>
      </c>
      <c r="K77" s="75"/>
    </row>
    <row r="78" spans="1:11" ht="15" customHeight="1" x14ac:dyDescent="0.35">
      <c r="B78" s="93" t="s">
        <v>150</v>
      </c>
      <c r="C78" s="97">
        <f>MAX(Data!C12,0)</f>
        <v>0</v>
      </c>
      <c r="D78" s="101">
        <f>C78/$C$74</f>
        <v>0</v>
      </c>
      <c r="E78" s="214">
        <f>E74*F78</f>
        <v>0</v>
      </c>
      <c r="F78" s="211">
        <f>I78</f>
        <v>0</v>
      </c>
      <c r="H78" s="256">
        <f>Inputs!F97</f>
        <v>0</v>
      </c>
      <c r="I78" s="211">
        <f>H78/$H$74</f>
        <v>0</v>
      </c>
      <c r="K78" s="75"/>
    </row>
    <row r="79" spans="1:11" ht="15" customHeight="1" x14ac:dyDescent="0.35">
      <c r="B79" s="215" t="s">
        <v>203</v>
      </c>
      <c r="C79" s="216">
        <f>C76-C77-C78</f>
        <v>3562955</v>
      </c>
      <c r="D79" s="217">
        <f>C79/C74</f>
        <v>1.9882162853074953E-2</v>
      </c>
      <c r="E79" s="218">
        <f>E76-E77-E78</f>
        <v>3562955</v>
      </c>
      <c r="F79" s="217">
        <f>E79/E74</f>
        <v>1.9882162853074953E-2</v>
      </c>
      <c r="G79" s="219"/>
      <c r="H79" s="218">
        <f>H76-H77-H78</f>
        <v>3562955</v>
      </c>
      <c r="I79" s="217">
        <f>H79/H74</f>
        <v>1.9882162853074953E-2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222</v>
      </c>
      <c r="C81" s="97">
        <f>MAX(Data!C19,0)</f>
        <v>0</v>
      </c>
      <c r="D81" s="101">
        <f>C81/$C$74</f>
        <v>0</v>
      </c>
      <c r="E81" s="214">
        <f>E74*F81</f>
        <v>0</v>
      </c>
      <c r="F81" s="211">
        <f>I81</f>
        <v>0</v>
      </c>
      <c r="H81" s="256">
        <f>Inputs!F94</f>
        <v>0</v>
      </c>
      <c r="I81" s="211">
        <f>H81/$H$74</f>
        <v>0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113</v>
      </c>
      <c r="C83" s="222">
        <f>C79-C81-C82-C80</f>
        <v>3562955</v>
      </c>
      <c r="D83" s="223">
        <f>C83/$C$74</f>
        <v>1.9882162853074953E-2</v>
      </c>
      <c r="E83" s="224">
        <f>E79-E81-E82-E80</f>
        <v>3562955</v>
      </c>
      <c r="F83" s="223">
        <f>E83/E74</f>
        <v>1.9882162853074953E-2</v>
      </c>
      <c r="H83" s="224">
        <f>H79-H81-H82-H80</f>
        <v>3562955</v>
      </c>
      <c r="I83" s="223">
        <f>H83/$H$74</f>
        <v>1.9882162853074953E-2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2672216.25</v>
      </c>
      <c r="D85" s="217">
        <f>C85/$C$74</f>
        <v>1.4911622139806216E-2</v>
      </c>
      <c r="E85" s="229">
        <f>E83*(1-F84)</f>
        <v>2672216.25</v>
      </c>
      <c r="F85" s="217">
        <f>E85/E74</f>
        <v>1.4911622139806216E-2</v>
      </c>
      <c r="G85" s="219"/>
      <c r="H85" s="229">
        <f>H83*(1-I84)</f>
        <v>2672216.25</v>
      </c>
      <c r="I85" s="217">
        <f>H85/$H$74</f>
        <v>1.4911622139806216E-2</v>
      </c>
      <c r="K85" s="75"/>
    </row>
    <row r="86" spans="1:11" ht="15" customHeight="1" x14ac:dyDescent="0.35">
      <c r="B86" s="3" t="s">
        <v>143</v>
      </c>
      <c r="C86" s="230">
        <f>C85*Data!C4/Common_Shares</f>
        <v>0.26531927307671482</v>
      </c>
      <c r="D86" s="98"/>
      <c r="E86" s="231">
        <f>E85*Data!C4/Common_Shares</f>
        <v>0.26531927307671482</v>
      </c>
      <c r="F86" s="98"/>
      <c r="H86" s="231">
        <f>H85*Data!C4/Common_Shares</f>
        <v>0.26531927307671482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2.052638443529007E-2</v>
      </c>
      <c r="D87" s="98"/>
      <c r="E87" s="233">
        <f>E86*Exchange_Rate/Dashboard!G3</f>
        <v>2.052638443529007E-2</v>
      </c>
      <c r="F87" s="98"/>
      <c r="H87" s="233">
        <f>H86*Exchange_Rate/Dashboard!G3</f>
        <v>2.052638443529007E-2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0.19021246747798443</v>
      </c>
      <c r="D88" s="235">
        <f>C88/C86</f>
        <v>0.71691914903967835</v>
      </c>
      <c r="E88" s="255">
        <f>Inputs!E98</f>
        <v>0.19021246747798443</v>
      </c>
      <c r="F88" s="235">
        <f>E88/E86</f>
        <v>0.71691914903967835</v>
      </c>
      <c r="H88" s="255">
        <f>Inputs!F98</f>
        <v>0.19021246747798443</v>
      </c>
      <c r="I88" s="235">
        <f>H88/H86</f>
        <v>0.71691914903967835</v>
      </c>
      <c r="K88" s="75"/>
    </row>
    <row r="89" spans="1:11" ht="15" customHeight="1" x14ac:dyDescent="0.35">
      <c r="B89" s="3" t="s">
        <v>193</v>
      </c>
      <c r="C89" s="232">
        <f>C88*Exchange_Rate/Dashboard!G3</f>
        <v>1.4715758062209455E-2</v>
      </c>
      <c r="D89" s="98"/>
      <c r="E89" s="232">
        <f>E88*Exchange_Rate/Dashboard!G3</f>
        <v>1.4715758062209455E-2</v>
      </c>
      <c r="F89" s="98"/>
      <c r="H89" s="232">
        <f>H88*Exchange_Rate/Dashboard!G3</f>
        <v>1.4715758062209455E-2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269</v>
      </c>
      <c r="C92" s="258" t="str">
        <f>Inputs!C15</f>
        <v>HK</v>
      </c>
      <c r="D92" s="83" t="s">
        <v>270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HK Discount Rate</v>
      </c>
      <c r="C93" s="236">
        <f>IF(C92="CN",Dashboard!C17,IF(C92="US",Dashboard!C12,IF(C92="HK",Dashboard!D12,Dashboard!D17)))</f>
        <v>7.5000000000000011E-2</v>
      </c>
      <c r="D93" s="253">
        <f>Dashboard!H20</f>
        <v>4</v>
      </c>
      <c r="E93" s="3" t="s">
        <v>182</v>
      </c>
      <c r="F93" s="237">
        <f>FV(E87,D93,0,-(E86/(C93-D94)))*Exchange_Rate</f>
        <v>5.5539354730508839</v>
      </c>
      <c r="H93" s="3" t="s">
        <v>182</v>
      </c>
      <c r="I93" s="237">
        <f>FV(H87,D93,0,-(H86/(C93-D94)))*Exchange_Rate</f>
        <v>5.5539354730508839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3.8918104533863649</v>
      </c>
      <c r="H94" s="3" t="s">
        <v>183</v>
      </c>
      <c r="I94" s="237">
        <f>FV(H89,D93,0,-(H88/(C93-D94)))*Exchange_Rate</f>
        <v>3.8918104533863649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31982489.810894404</v>
      </c>
      <c r="D97" s="244"/>
      <c r="E97" s="245">
        <f>PV(C94,D93,0,-F93)</f>
        <v>3.175480632531122</v>
      </c>
      <c r="F97" s="244"/>
      <c r="H97" s="245">
        <f>PV(C94,D93,0,-I93)</f>
        <v>3.175480632531122</v>
      </c>
      <c r="I97" s="245">
        <f>PV(C93,D93,0,-I93)</f>
        <v>4.1587898245643027</v>
      </c>
      <c r="K97" s="75"/>
    </row>
    <row r="98" spans="2:11" ht="15" customHeight="1" x14ac:dyDescent="0.35">
      <c r="B98" s="18" t="s">
        <v>132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0</v>
      </c>
      <c r="D99" s="248"/>
      <c r="E99" s="249">
        <f>IF(H99&gt;0,I64,H99)</f>
        <v>0</v>
      </c>
      <c r="F99" s="248"/>
      <c r="H99" s="249">
        <f>I64</f>
        <v>0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2.6991585376514537</v>
      </c>
      <c r="E100" s="251">
        <f>MAX(E97+H98+E99,0)</f>
        <v>3.175480632531122</v>
      </c>
      <c r="F100" s="251">
        <f>(E100+H100)/2</f>
        <v>3.175480632531122</v>
      </c>
      <c r="H100" s="251">
        <f>MAX(H97+H98+H99,0)</f>
        <v>3.175480632531122</v>
      </c>
      <c r="I100" s="251">
        <f>MAX(I97+H98+H99,0)</f>
        <v>4.1587898245643027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271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1.8913819692630667</v>
      </c>
      <c r="E103" s="245">
        <f>PV(C94,D93,0,-F94)</f>
        <v>2.225155257956549</v>
      </c>
      <c r="F103" s="251">
        <f>(E103+H103)/2</f>
        <v>2.225155257956549</v>
      </c>
      <c r="H103" s="245">
        <f>PV(C94,D93,0,-I94)</f>
        <v>2.225155257956549</v>
      </c>
      <c r="I103" s="251">
        <f>PV(C93,D93,0,-I94)</f>
        <v>2.9141897292849439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2.29527025345726</v>
      </c>
      <c r="E106" s="245">
        <f>(E100+E103)/2</f>
        <v>2.7003179452438353</v>
      </c>
      <c r="F106" s="251">
        <f>(F100+F103)/2</f>
        <v>2.7003179452438353</v>
      </c>
      <c r="H106" s="245">
        <f>(H100+H103)/2</f>
        <v>2.7003179452438353</v>
      </c>
      <c r="I106" s="245">
        <f>(I100+I103)/2</f>
        <v>3.5364897769246233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272</v>
      </c>
      <c r="C108" s="259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264</v>
      </c>
      <c r="C2" s="1"/>
    </row>
    <row r="3" spans="2:3" x14ac:dyDescent="0.35">
      <c r="B3" s="62"/>
      <c r="C3" s="62"/>
    </row>
    <row r="4" spans="2:3" x14ac:dyDescent="0.35">
      <c r="B4" s="60" t="s">
        <v>262</v>
      </c>
      <c r="C4" s="61" t="s">
        <v>263</v>
      </c>
    </row>
    <row r="5" spans="2:3" x14ac:dyDescent="0.35">
      <c r="B5" s="60"/>
      <c r="C5" s="61"/>
    </row>
    <row r="6" spans="2:3" x14ac:dyDescent="0.35">
      <c r="B6" s="63" t="s">
        <v>265</v>
      </c>
      <c r="C6" s="64" t="s">
        <v>266</v>
      </c>
    </row>
    <row r="7" spans="2:3" x14ac:dyDescent="0.35">
      <c r="B7" s="63"/>
      <c r="C7" s="64"/>
    </row>
    <row r="8" spans="2:3" x14ac:dyDescent="0.35">
      <c r="B8" s="290"/>
      <c r="C8" s="65" t="s">
        <v>267</v>
      </c>
    </row>
    <row r="10" spans="2:3" x14ac:dyDescent="0.35">
      <c r="B10" s="283" t="s">
        <v>268</v>
      </c>
    </row>
    <row r="11" spans="2:3" x14ac:dyDescent="0.35">
      <c r="B11" s="284">
        <f>Inputs!C6</f>
        <v>45633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2025-01-14T02:28:25Z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