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C90186C-C8E9-47E8-AAA8-92776FEBBD6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33" i="4"/>
  <c r="C33" i="4"/>
  <c r="D32" i="4"/>
  <c r="C32" i="4"/>
  <c r="D27" i="4"/>
  <c r="C27" i="4"/>
  <c r="F96" i="4" l="1"/>
  <c r="E92" i="4"/>
  <c r="F97" i="4"/>
  <c r="E95" i="4"/>
  <c r="F92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<sst xmlns="http://schemas.openxmlformats.org/spreadsheetml/2006/main" count="405" uniqueCount="288">
  <si>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</si>
  <si>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</si>
  <si>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</si>
  <si>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</si>
  <si>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</si>
  <si>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</si>
  <si>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</si>
  <si>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</si>
  <si>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</si>
  <si>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</si>
  <si>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</si>
  <si>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</si>
  <si>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</si>
  <si>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</si>
  <si>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</si>
  <si>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</si>
  <si>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</si>
  <si>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</si>
  <si>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</si>
  <si>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</si>
  <si>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</si>
  <si>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</si>
  <si>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</si>
  <si>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</si>
  <si>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</si>
  <si>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</si>
  <si>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</si>
  <si>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</si>
  <si>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</si>
  <si>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</si>
  <si>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</si>
  <si>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</si>
  <si>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</si>
  <si>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</si>
  <si>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</si>
  <si>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</si>
  <si>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</si>
  <si>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</si>
  <si>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</si>
  <si>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</si>
  <si>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</si>
  <si>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</si>
  <si>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</si>
  <si>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</si>
  <si>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</si>
  <si>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</si>
  <si>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</si>
  <si>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</si>
  <si>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</si>
  <si>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</si>
  <si>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</si>
  <si>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</si>
  <si>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</si>
  <si>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</si>
  <si>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</si>
  <si>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</si>
  <si>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</si>
  <si>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</si>
  <si>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</si>
  <si>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</si>
  <si>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</si>
  <si>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</si>
  <si>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</si>
  <si>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</si>
  <si>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</si>
  <si>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</si>
  <si>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</si>
  <si>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</si>
  <si>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</si>
  <si>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</si>
  <si>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</si>
  <si>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</si>
  <si>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</si>
  <si>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</si>
  <si>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</si>
  <si>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</si>
  <si>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</si>
  <si>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</si>
  <si>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</si>
  <si>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</si>
  <si>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</si>
  <si>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</si>
  <si>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</si>
  <si>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</si>
  <si>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</si>
  <si>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</si>
  <si>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</si>
  <si>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</si>
  <si>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</si>
  <si>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</si>
  <si>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</si>
  <si>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</si>
  <si>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</si>
  <si>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</si>
  <si>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</si>
  <si>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</si>
  <si>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</si>
  <si>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</si>
  <si>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</si>
  <si>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</si>
  <si>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</si>
  <si>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</si>
  <si>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</si>
  <si>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</si>
  <si>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</si>
  <si>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</si>
  <si>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</si>
  <si>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</si>
  <si>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</si>
  <si>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</si>
  <si>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</si>
  <si>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</si>
  <si>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</si>
  <si>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</si>
  <si>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</si>
  <si>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</si>
  <si>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</si>
  <si>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</si>
  <si>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</si>
  <si>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</si>
  <si>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</si>
  <si>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</si>
  <si>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</si>
  <si>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</si>
  <si>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</si>
  <si>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</si>
  <si>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</si>
  <si>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</si>
  <si>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</si>
  <si>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</si>
  <si>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</si>
  <si>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</si>
  <si>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</si>
  <si>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</si>
  <si>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</si>
  <si>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</si>
  <si>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</si>
  <si>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</si>
  <si>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</si>
  <si>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</si>
  <si>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</si>
  <si>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</si>
  <si>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</si>
  <si>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</si>
  <si>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</si>
  <si>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</si>
  <si>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</si>
  <si>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</si>
  <si>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</si>
  <si>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</si>
  <si>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</si>
  <si>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</si>
  <si>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</si>
  <si>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</si>
  <si>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</si>
  <si>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</si>
  <si>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</si>
  <si>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</si>
  <si>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</si>
  <si>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</si>
  <si>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</si>
  <si>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</si>
  <si>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</si>
  <si>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</si>
  <si>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</si>
  <si>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</si>
  <si>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</si>
  <si>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</si>
  <si>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</si>
  <si>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</si>
  <si>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</si>
  <si>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</si>
  <si>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</si>
  <si>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</si>
  <si>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</si>
  <si>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</si>
  <si>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</si>
  <si>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</si>
  <si>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</si>
  <si>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</si>
  <si>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</si>
  <si>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</si>
  <si>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</si>
  <si>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</si>
  <si>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</si>
  <si>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</si>
  <si>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</si>
  <si>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</si>
  <si>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</si>
  <si>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</si>
  <si>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</si>
  <si>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</si>
  <si>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</si>
  <si>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</si>
  <si>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</si>
  <si>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</si>
  <si>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</si>
  <si>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</si>
  <si>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</si>
  <si>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</si>
  <si>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</si>
  <si>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</si>
  <si>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</si>
  <si>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</si>
  <si>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</si>
  <si>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</si>
  <si>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</si>
  <si>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</si>
  <si>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</si>
  <si>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</si>
  <si>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</si>
  <si>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</si>
  <si>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</si>
  <si>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</si>
  <si>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</si>
  <si>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</si>
  <si>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</si>
  <si>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</si>
  <si>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</si>
  <si>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</si>
  <si>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</si>
  <si>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</si>
  <si>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</si>
  <si>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</si>
  <si>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</si>
  <si>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</si>
  <si>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</si>
  <si>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</si>
  <si>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</si>
  <si>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</si>
  <si>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</si>
  <si>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</si>
  <si>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</si>
  <si>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</si>
  <si>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</si>
  <si>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</si>
  <si>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</si>
  <si>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</si>
  <si>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</si>
  <si>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</si>
  <si>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</si>
  <si>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</si>
  <si>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</si>
  <si>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</si>
  <si>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</si>
  <si>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</si>
  <si>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</si>
  <si>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</si>
  <si>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</si>
  <si>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</si>
  <si>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</si>
  <si>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</si>
  <si>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</si>
  <si>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</si>
  <si>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</si>
  <si>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</si>
  <si>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</si>
  <si>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</si>
  <si>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</si>
  <si>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</si>
  <si>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</si>
  <si>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</si>
  <si>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</si>
  <si>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</si>
  <si>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</si>
  <si>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</si>
  <si>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</si>
  <si>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</si>
  <si>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</si>
  <si>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</si>
  <si>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</si>
  <si>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</si>
  <si>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</si>
  <si>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</si>
  <si>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</si>
  <si>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</si>
  <si>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</si>
  <si>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</si>
  <si>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</si>
  <si>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</si>
  <si>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</si>
  <si>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</si>
  <si>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</si>
  <si>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</si>
  <si>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0220.HK</t>
  </si>
  <si>
    <t>统一中国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</si>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</sst>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45624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4319334000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28591271</v>
      </c>
      <c r="D25" s="77">
        <v>28257432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19879540</v>
      </c>
      <c r="D26" s="78">
        <v>20069515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6277942+1065856</f>
        <v>7343798</v>
      </c>
      <c r="D27" s="78">
        <f>5886596+1041026</f>
        <v>6927622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59121</v>
      </c>
      <c r="D29" s="78">
        <v>60526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0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0</v>
      </c>
      <c r="D31" s="78">
        <v>0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f>2962482-3624143</f>
        <v>-661661</v>
      </c>
      <c r="D32" s="78">
        <f>2869480-2055079</f>
        <v>814401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f>1021274+85158</f>
        <v>1106432</v>
      </c>
      <c r="D33" s="78">
        <f>1023585+92256</f>
        <v>1115841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1078800</v>
      </c>
      <c r="D34" s="78">
        <v>545900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0.42449999999999999</v>
      </c>
      <c r="D44" s="81">
        <v>0.33950000000000002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5.9679958717712499E-2</v>
      </c>
      <c r="D45" s="82">
        <f>IF(D44="","",D44*Exchange_Rate/Dashboard!$G$3)</f>
        <v>4.7729908091079853E-2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28591271</v>
      </c>
      <c r="D91" s="98"/>
      <c r="E91" s="99">
        <f>C91</f>
        <v>28591271</v>
      </c>
      <c r="F91" s="99">
        <f>C91</f>
        <v>28591271</v>
      </c>
    </row>
    <row r="92" spans="2:8" x14ac:dyDescent="0.35">
      <c r="B92" s="100" t="s">
        <v>97</v>
      </c>
      <c r="C92" s="97">
        <f>C26</f>
        <v>19879540</v>
      </c>
      <c r="D92" s="101">
        <f>C92/C91</f>
        <v>0.69530102386843873</v>
      </c>
      <c r="E92" s="102">
        <f>E91*D92</f>
        <v>19879540</v>
      </c>
      <c r="F92" s="102">
        <f>F91*D92</f>
        <v>19879540</v>
      </c>
    </row>
    <row r="93" spans="2:8" x14ac:dyDescent="0.35">
      <c r="B93" s="100" t="s">
        <v>216</v>
      </c>
      <c r="C93" s="97">
        <f>C27+C28</f>
        <v>7343798</v>
      </c>
      <c r="D93" s="101">
        <f>C93/C91</f>
        <v>0.25685454836897598</v>
      </c>
      <c r="E93" s="102">
        <f>E91*D93</f>
        <v>7343798</v>
      </c>
      <c r="F93" s="102">
        <f>F91*D93</f>
        <v>7343798</v>
      </c>
    </row>
    <row r="94" spans="2:8" x14ac:dyDescent="0.35">
      <c r="B94" s="100" t="s">
        <v>222</v>
      </c>
      <c r="C94" s="97">
        <f>C29</f>
        <v>59121</v>
      </c>
      <c r="D94" s="101">
        <f>C94/C91</f>
        <v>2.0677989446499247E-3</v>
      </c>
      <c r="E94" s="103"/>
      <c r="F94" s="102">
        <f>F91*D94</f>
        <v>59121</v>
      </c>
    </row>
    <row r="95" spans="2:8" x14ac:dyDescent="0.35">
      <c r="B95" s="18" t="s">
        <v>215</v>
      </c>
      <c r="C95" s="97">
        <f>ABS(MAX(C34,0)-C33)</f>
        <v>27632</v>
      </c>
      <c r="D95" s="101">
        <f>C95/C91</f>
        <v>9.6644881579416319E-4</v>
      </c>
      <c r="E95" s="102">
        <f>E91*D95</f>
        <v>27632</v>
      </c>
      <c r="F95" s="102">
        <f>F91*D95</f>
        <v>27632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0.42449999999999999</v>
      </c>
      <c r="D98" s="105"/>
      <c r="E98" s="106">
        <f>F98</f>
        <v>0.42449999999999999</v>
      </c>
      <c r="F98" s="106">
        <f>C98</f>
        <v>0.42449999999999999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0220.HK : 统一中国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0220.HK</v>
      </c>
      <c r="D3" s="313"/>
      <c r="E3" s="3"/>
      <c r="F3" s="9" t="s">
        <v>1</v>
      </c>
      <c r="G3" s="10">
        <v>7.55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统一中国</v>
      </c>
      <c r="D4" s="315"/>
      <c r="E4" s="3"/>
      <c r="F4" s="9" t="s">
        <v>2</v>
      </c>
      <c r="G4" s="318">
        <f>Inputs!C10</f>
        <v>4319334000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45624</v>
      </c>
      <c r="D5" s="317"/>
      <c r="E5" s="16"/>
      <c r="F5" s="12" t="s">
        <v>91</v>
      </c>
      <c r="G5" s="321">
        <f>G3*G4/1000000</f>
        <v>32610.971699999998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C0002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4.7844427762585302E-2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2.0677989446499247E-3</v>
      </c>
      <c r="F24" s="39" t="s">
        <v>224</v>
      </c>
      <c r="G24" s="43">
        <f>G3/(Fin_Analysis!H86*G7)</f>
        <v>31.973822126934987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1.9081963845829624</v>
      </c>
    </row>
    <row r="26" spans="1:8" ht="15.75" customHeight="1" x14ac:dyDescent="0.35">
      <c r="B26" s="45" t="s">
        <v>241</v>
      </c>
      <c r="C26" s="44">
        <f>Fin_Analysis!I80+Fin_Analysis!I82</f>
        <v>9.6644881579416319E-4</v>
      </c>
      <c r="F26" s="46" t="s">
        <v>166</v>
      </c>
      <c r="G26" s="47">
        <f>Fin_Analysis!H88*Exchange_Rate/G3</f>
        <v>5.9679958717712499E-2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2.1633543236759794</v>
      </c>
      <c r="D29" s="54">
        <f>G29*(1+G20)</f>
        <v>3.7627287350942167</v>
      </c>
      <c r="E29" s="3"/>
      <c r="F29" s="55">
        <f>IF(Fin_Analysis!C108="Profit",Fin_Analysis!F100,IF(Fin_Analysis!C108="Dividend",Fin_Analysis!F103,Fin_Analysis!F106))</f>
        <v>2.5451227337364464</v>
      </c>
      <c r="G29" s="320">
        <f>IF(Fin_Analysis!C108="Profit",Fin_Analysis!I100,IF(Fin_Analysis!C108="Dividend",Fin_Analysis!I103,Fin_Analysis!I106))</f>
        <v>3.2719380305167105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1367933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28591271</v>
      </c>
      <c r="D6" s="142">
        <f>IF(Inputs!D25="","",Inputs!D25)</f>
        <v>28257432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1.1814201658522983E-2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19879540</v>
      </c>
      <c r="D8" s="144">
        <f>IF(Inputs!D26="","",Inputs!D26)</f>
        <v>20069515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8711731</v>
      </c>
      <c r="D9" s="273">
        <f t="shared" si="2"/>
        <v>8187917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7343798</v>
      </c>
      <c r="D10" s="144">
        <f>IF(Inputs!D27="","",Inputs!D27)</f>
        <v>6927622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4.7844427762585302E-2</v>
      </c>
      <c r="D13" s="292">
        <f t="shared" si="3"/>
        <v>4.4600478911176356E-2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1367933</v>
      </c>
      <c r="D14" s="294">
        <f t="shared" ref="D14:M14" si="4">IF(D6="","",D9-D10-MAX(D11,0)-MAX(D12,0))</f>
        <v>1260295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8.5406988046449445E-2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-1260295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0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-661661</v>
      </c>
      <c r="D18" s="144">
        <f>IF(Inputs!D32="","",Inputs!D32)</f>
        <v>814401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59121</v>
      </c>
      <c r="D19" s="144">
        <f>IF(Inputs!D29="","",Inputs!D29)</f>
        <v>60526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3.8698244649564548E-2</v>
      </c>
      <c r="D20" s="227">
        <f t="shared" si="7"/>
        <v>3.9488407863814377E-2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1106432</v>
      </c>
      <c r="D21" s="144">
        <f>IF(Inputs!D33="","",Inputs!D33)</f>
        <v>1115841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3.7731795833770385E-2</v>
      </c>
      <c r="D22" s="227">
        <f t="shared" si="8"/>
        <v>1.9318811419240078E-2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1078800</v>
      </c>
      <c r="D23" s="144">
        <f>IF(Inputs!D34="","",Inputs!D34)</f>
        <v>545900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1281180</v>
      </c>
      <c r="D24" s="309">
        <f t="shared" si="9"/>
        <v>-184573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3.3607635001605907E-2</v>
      </c>
      <c r="D25" s="143">
        <f t="shared" si="10"/>
        <v>-4.8988793461486524E-3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960885</v>
      </c>
      <c r="D26" s="276">
        <f>IF(D6="","",D24*(1-Fin_Analysis!$I$84))</f>
        <v>-138429.75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 t="str">
        <f t="shared" ref="C27:M27" si="11">IF(D26="","",IF(ABS(C26+D26)=ABS(C26)+ABS(D26),IF(C26&lt;0,-1,1)*(C26-D26)/D26,"Turn"))</f>
        <v>Turn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0.69530102386843873</v>
      </c>
      <c r="D42" s="150">
        <f t="shared" si="35"/>
        <v>0.71023846045174943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0.25685454836897598</v>
      </c>
      <c r="D43" s="146">
        <f t="shared" si="36"/>
        <v>0.24516106063707416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2.882077182385151E-2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2.0677989446499247E-3</v>
      </c>
      <c r="D45" s="146">
        <f t="shared" si="38"/>
        <v>2.1419497709487543E-3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9.6644881579416319E-4</v>
      </c>
      <c r="D47" s="146">
        <f t="shared" si="40"/>
        <v>2.0169596444574299E-2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4.4810180002141216E-2</v>
      </c>
      <c r="D48" s="281">
        <f t="shared" si="41"/>
        <v>-6.5318391281982031E-3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-1.9819763418893539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4.6145740645342576E-2</v>
      </c>
      <c r="D57" s="146">
        <f t="shared" si="48"/>
        <v>-0.32792445265558884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28591271</v>
      </c>
      <c r="D74" s="98"/>
      <c r="E74" s="256">
        <f>Inputs!E91</f>
        <v>28591271</v>
      </c>
      <c r="F74" s="98"/>
      <c r="H74" s="256">
        <f>Inputs!F91</f>
        <v>28591271</v>
      </c>
      <c r="I74" s="98"/>
      <c r="K74" s="75"/>
    </row>
    <row r="75" spans="1:11" ht="15" customHeight="1" x14ac:dyDescent="0.35">
      <c r="B75" s="100" t="s">
        <v>97</v>
      </c>
      <c r="C75" s="97">
        <f>Data!C8</f>
        <v>19879540</v>
      </c>
      <c r="D75" s="101">
        <f>C75/$C$74</f>
        <v>0.69530102386843873</v>
      </c>
      <c r="E75" s="256">
        <f>Inputs!E92</f>
        <v>19879540</v>
      </c>
      <c r="F75" s="211">
        <f>E75/E74</f>
        <v>0.69530102386843873</v>
      </c>
      <c r="H75" s="256">
        <f>Inputs!F92</f>
        <v>19879540</v>
      </c>
      <c r="I75" s="211">
        <f>H75/$H$74</f>
        <v>0.69530102386843873</v>
      </c>
      <c r="K75" s="75"/>
    </row>
    <row r="76" spans="1:11" ht="15" customHeight="1" x14ac:dyDescent="0.35">
      <c r="B76" s="12" t="s">
        <v>87</v>
      </c>
      <c r="C76" s="145">
        <f>C74-C75</f>
        <v>8711731</v>
      </c>
      <c r="D76" s="212"/>
      <c r="E76" s="213">
        <f>E74-E75</f>
        <v>8711731</v>
      </c>
      <c r="F76" s="212"/>
      <c r="H76" s="213">
        <f>H74-H75</f>
        <v>8711731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7343798</v>
      </c>
      <c r="D77" s="101">
        <f>C77/$C$74</f>
        <v>0.25685454836897598</v>
      </c>
      <c r="E77" s="256">
        <f>Inputs!E93</f>
        <v>7343798</v>
      </c>
      <c r="F77" s="211">
        <f>E77/E74</f>
        <v>0.25685454836897598</v>
      </c>
      <c r="H77" s="256">
        <f>Inputs!F93</f>
        <v>7343798</v>
      </c>
      <c r="I77" s="211">
        <f>H77/$H$74</f>
        <v>0.25685454836897598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1367933</v>
      </c>
      <c r="D79" s="217">
        <f>C79/C74</f>
        <v>4.7844427762585302E-2</v>
      </c>
      <c r="E79" s="218">
        <f>E76-E77-E78</f>
        <v>1367933</v>
      </c>
      <c r="F79" s="217">
        <f>E79/E74</f>
        <v>4.7844427762585302E-2</v>
      </c>
      <c r="G79" s="219"/>
      <c r="H79" s="218">
        <f>H76-H77-H78</f>
        <v>1367933</v>
      </c>
      <c r="I79" s="217">
        <f>H79/H74</f>
        <v>4.7844427762585302E-2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59121</v>
      </c>
      <c r="D81" s="101">
        <f>C81/$C$74</f>
        <v>2.0677989446499247E-3</v>
      </c>
      <c r="E81" s="214">
        <f>E74*F81</f>
        <v>59121</v>
      </c>
      <c r="F81" s="211">
        <f>I81</f>
        <v>2.0677989446499247E-3</v>
      </c>
      <c r="H81" s="256">
        <f>Inputs!F94</f>
        <v>59121</v>
      </c>
      <c r="I81" s="211">
        <f>H81/$H$74</f>
        <v>2.0677989446499247E-3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27632</v>
      </c>
      <c r="D82" s="101">
        <f>C82/$C$74</f>
        <v>9.6644881579416319E-4</v>
      </c>
      <c r="E82" s="256">
        <f>Inputs!E95</f>
        <v>27632</v>
      </c>
      <c r="F82" s="211">
        <f>E82/E74</f>
        <v>9.6644881579416319E-4</v>
      </c>
      <c r="H82" s="256">
        <f>Inputs!F95</f>
        <v>27632</v>
      </c>
      <c r="I82" s="211">
        <f>H82/$H$74</f>
        <v>9.6644881579416319E-4</v>
      </c>
      <c r="K82" s="75"/>
    </row>
    <row r="83" spans="1:11" ht="15" customHeight="1" thickBot="1" x14ac:dyDescent="0.4">
      <c r="B83" s="221" t="s">
        <v>113</v>
      </c>
      <c r="C83" s="222">
        <f>C79-C81-C82-C80</f>
        <v>1281180</v>
      </c>
      <c r="D83" s="223">
        <f>C83/$C$74</f>
        <v>4.4810180002141216E-2</v>
      </c>
      <c r="E83" s="224">
        <f>E79-E81-E82-E80</f>
        <v>1281180</v>
      </c>
      <c r="F83" s="223">
        <f>E83/E74</f>
        <v>4.4810180002141216E-2</v>
      </c>
      <c r="H83" s="224">
        <f>H79-H81-H82-H80</f>
        <v>1281180</v>
      </c>
      <c r="I83" s="223">
        <f>H83/$H$74</f>
        <v>4.4810180002141216E-2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960885</v>
      </c>
      <c r="D85" s="217">
        <f>C85/$C$74</f>
        <v>3.3607635001605907E-2</v>
      </c>
      <c r="E85" s="229">
        <f>E83*(1-F84)</f>
        <v>960885</v>
      </c>
      <c r="F85" s="217">
        <f>E85/E74</f>
        <v>3.3607635001605907E-2</v>
      </c>
      <c r="G85" s="219"/>
      <c r="H85" s="229">
        <f>H83*(1-I84)</f>
        <v>960885</v>
      </c>
      <c r="I85" s="217">
        <f>H85/$H$74</f>
        <v>3.3607635001605907E-2</v>
      </c>
      <c r="K85" s="75"/>
    </row>
    <row r="86" spans="1:11" ht="15" customHeight="1" x14ac:dyDescent="0.35">
      <c r="B86" s="3" t="s">
        <v>143</v>
      </c>
      <c r="C86" s="230">
        <f>C85*Data!C4/Common_Shares</f>
        <v>0.22246137946266717</v>
      </c>
      <c r="D86" s="98"/>
      <c r="E86" s="231">
        <f>E85*Data!C4/Common_Shares</f>
        <v>0.22246137946266717</v>
      </c>
      <c r="F86" s="98"/>
      <c r="H86" s="231">
        <f>H85*Data!C4/Common_Shares</f>
        <v>0.22246137946266717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3.1275585259404833E-2</v>
      </c>
      <c r="D87" s="98"/>
      <c r="E87" s="233">
        <f>E86*Exchange_Rate/Dashboard!G3</f>
        <v>3.1275585259404833E-2</v>
      </c>
      <c r="F87" s="98"/>
      <c r="H87" s="233">
        <f>H86*Exchange_Rate/Dashboard!G3</f>
        <v>3.1275585259404833E-2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0.42449999999999999</v>
      </c>
      <c r="D88" s="235">
        <f>C88/C86</f>
        <v>1.9081963845829624</v>
      </c>
      <c r="E88" s="255">
        <f>Inputs!E98</f>
        <v>0.42449999999999999</v>
      </c>
      <c r="F88" s="235">
        <f>E88/E86</f>
        <v>1.9081963845829624</v>
      </c>
      <c r="H88" s="255">
        <f>Inputs!F98</f>
        <v>0.42449999999999999</v>
      </c>
      <c r="I88" s="235">
        <f>H88/H86</f>
        <v>1.9081963845829624</v>
      </c>
      <c r="K88" s="75"/>
    </row>
    <row r="89" spans="1:11" ht="15" customHeight="1" x14ac:dyDescent="0.35">
      <c r="B89" s="3" t="s">
        <v>193</v>
      </c>
      <c r="C89" s="232">
        <f>C88*Exchange_Rate/Dashboard!G3</f>
        <v>5.9679958717712499E-2</v>
      </c>
      <c r="D89" s="98"/>
      <c r="E89" s="232">
        <f>E88*Exchange_Rate/Dashboard!G3</f>
        <v>5.9679958717712499E-2</v>
      </c>
      <c r="F89" s="98"/>
      <c r="H89" s="232">
        <f>H88*Exchange_Rate/Dashboard!G3</f>
        <v>5.9679958717712499E-2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4.4514355683221289</v>
      </c>
      <c r="H93" s="3" t="s">
        <v>182</v>
      </c>
      <c r="I93" s="237">
        <f>FV(H87,D93,0,-(H86/(C93-D94)))*Exchange_Rate</f>
        <v>4.4514355683221289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9.469413874360912</v>
      </c>
      <c r="H94" s="3" t="s">
        <v>183</v>
      </c>
      <c r="I94" s="237">
        <f>FV(H89,D93,0,-(H88/(C93-D94)))*Exchange_Rate</f>
        <v>9.469413874360912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10993235.15800078</v>
      </c>
      <c r="D97" s="244"/>
      <c r="E97" s="245">
        <f>PV(C94,D93,0,-F93)</f>
        <v>2.5451227337364464</v>
      </c>
      <c r="F97" s="244"/>
      <c r="H97" s="245">
        <f>PV(C94,D93,0,-I93)</f>
        <v>2.5451227337364464</v>
      </c>
      <c r="I97" s="245">
        <f>PV(C93,D93,0,-I93)</f>
        <v>3.2719380305167105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2.1633543236759794</v>
      </c>
      <c r="E100" s="251">
        <f>MAX(E97+H98+E99,0)</f>
        <v>2.5451227337364464</v>
      </c>
      <c r="F100" s="251">
        <f>(E100+H100)/2</f>
        <v>2.5451227337364464</v>
      </c>
      <c r="H100" s="251">
        <f>MAX(H97+H98+H99,0)</f>
        <v>2.5451227337364464</v>
      </c>
      <c r="I100" s="251">
        <f>MAX(I97+H98+H99,0)</f>
        <v>3.2719380305167105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4.6020428990501197</v>
      </c>
      <c r="E103" s="245">
        <f>PV(C94,D93,0,-F94)</f>
        <v>5.4141681165295523</v>
      </c>
      <c r="F103" s="251">
        <f>(E103+H103)/2</f>
        <v>5.4141681165295523</v>
      </c>
      <c r="H103" s="245">
        <f>PV(C94,D93,0,-I94)</f>
        <v>5.4141681165295523</v>
      </c>
      <c r="I103" s="251">
        <f>PV(C93,D93,0,-I94)</f>
        <v>6.9603018861401935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3.3826986113630495</v>
      </c>
      <c r="E106" s="245">
        <f>(E100+E103)/2</f>
        <v>3.9796454251329996</v>
      </c>
      <c r="F106" s="251">
        <f>(F100+F103)/2</f>
        <v>3.9796454251329996</v>
      </c>
      <c r="H106" s="245">
        <f>(H100+H103)/2</f>
        <v>3.9796454251329996</v>
      </c>
      <c r="I106" s="245">
        <f>(I100+I103)/2</f>
        <v>5.1161199583284525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