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CF08C14-9F21-43F4-8681-B3071D4D1D7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4" i="4"/>
  <c r="F93" i="4"/>
  <c r="E93" i="4"/>
  <c r="E92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27" i="4"/>
  <c r="D27" i="4"/>
  <c r="C27" i="4"/>
  <c r="F95" i="4" l="1"/>
  <c r="F96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<sst xmlns="http://schemas.openxmlformats.org/spreadsheetml/2006/main" count="405" uniqueCount="289">
  <si>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</si>
  <si>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</si>
  <si>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</si>
  <si>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</si>
  <si>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</si>
  <si>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</si>
  <si>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</si>
  <si>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</si>
  <si>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</si>
  <si>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</si>
  <si>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</si>
  <si>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</si>
  <si>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</si>
  <si>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</si>
  <si>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</si>
  <si>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</si>
  <si>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</si>
  <si>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</si>
  <si>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</si>
  <si>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</si>
  <si>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</si>
  <si>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</si>
  <si>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</si>
  <si>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</si>
  <si>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</si>
  <si>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</si>
  <si>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</si>
  <si>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</si>
  <si>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</si>
  <si>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</si>
  <si>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</si>
  <si>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</si>
  <si>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</si>
  <si>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</si>
  <si>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</si>
  <si>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</si>
  <si>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</si>
  <si>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</si>
  <si>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</si>
  <si>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</si>
  <si>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</si>
  <si>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</si>
  <si>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</si>
  <si>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</si>
  <si>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</si>
  <si>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</si>
  <si>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</si>
  <si>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</si>
  <si>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</si>
  <si>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</si>
  <si>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</si>
  <si>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</si>
  <si>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</si>
  <si>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</si>
  <si>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</si>
  <si>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</si>
  <si>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</si>
  <si>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</si>
  <si>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</si>
  <si>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</si>
  <si>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</si>
  <si>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</si>
  <si>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</si>
  <si>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</si>
  <si>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</si>
  <si>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</si>
  <si>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</si>
  <si>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</si>
  <si>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</si>
  <si>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</si>
  <si>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</si>
  <si>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</si>
  <si>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</si>
  <si>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</si>
  <si>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</si>
  <si>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</si>
  <si>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</si>
  <si>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</si>
  <si>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</si>
  <si>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</si>
  <si>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</si>
  <si>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</si>
  <si>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</si>
  <si>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</si>
  <si>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</si>
  <si>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</si>
  <si>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</si>
  <si>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</si>
  <si>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</si>
  <si>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</si>
  <si>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</si>
  <si>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</si>
  <si>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</si>
  <si>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</si>
  <si>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</si>
  <si>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</si>
  <si>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</si>
  <si>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</si>
  <si>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</si>
  <si>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</si>
  <si>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</si>
  <si>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</si>
  <si>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</si>
  <si>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</si>
  <si>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</si>
  <si>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</si>
  <si>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</si>
  <si>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</si>
  <si>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</si>
  <si>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</si>
  <si>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</si>
  <si>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</si>
  <si>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</si>
  <si>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</si>
  <si>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</si>
  <si>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</si>
  <si>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</si>
  <si>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</si>
  <si>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</si>
  <si>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</si>
  <si>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</si>
  <si>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</si>
  <si>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</si>
  <si>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</si>
  <si>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</si>
  <si>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</si>
  <si>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</si>
  <si>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</si>
  <si>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</si>
  <si>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</si>
  <si>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</si>
  <si>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</si>
  <si>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</si>
  <si>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</si>
  <si>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</si>
  <si>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</si>
  <si>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</si>
  <si>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</si>
  <si>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</si>
  <si>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</si>
  <si>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</si>
  <si>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</si>
  <si>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</si>
  <si>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</si>
  <si>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</si>
  <si>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</si>
  <si>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</si>
  <si>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</si>
  <si>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</si>
  <si>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</si>
  <si>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</si>
  <si>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</si>
  <si>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</si>
  <si>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</si>
  <si>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</si>
  <si>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</si>
  <si>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</si>
  <si>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</si>
  <si>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</si>
  <si>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</si>
  <si>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</si>
  <si>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</si>
  <si>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</si>
  <si>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</si>
  <si>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</si>
  <si>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</si>
  <si>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</si>
  <si>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</si>
  <si>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</si>
  <si>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</si>
  <si>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</si>
  <si>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</si>
  <si>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</si>
  <si>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</si>
  <si>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</si>
  <si>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</si>
  <si>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</si>
  <si>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</si>
  <si>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</si>
  <si>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</si>
  <si>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</si>
  <si>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</si>
  <si>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</si>
  <si>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</si>
  <si>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</si>
  <si>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</si>
  <si>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</si>
  <si>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</si>
  <si>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</si>
  <si>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</si>
  <si>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</si>
  <si>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</si>
  <si>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</si>
  <si>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</si>
  <si>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</si>
  <si>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</si>
  <si>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</si>
  <si>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</si>
  <si>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</si>
  <si>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</si>
  <si>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</si>
  <si>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</si>
  <si>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</si>
  <si>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</si>
  <si>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</si>
  <si>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</si>
  <si>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</si>
  <si>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</si>
  <si>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</si>
  <si>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</si>
  <si>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</si>
  <si>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</si>
  <si>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</si>
  <si>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</si>
  <si>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</si>
  <si>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</si>
  <si>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</si>
  <si>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</si>
  <si>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</si>
  <si>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</si>
  <si>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</si>
  <si>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</si>
  <si>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</si>
  <si>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</si>
  <si>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</si>
  <si>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</si>
  <si>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</si>
  <si>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</si>
  <si>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</si>
  <si>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</si>
  <si>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</si>
  <si>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</si>
  <si>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</si>
  <si>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</si>
  <si>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</si>
  <si>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</si>
  <si>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</si>
  <si>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</si>
  <si>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</si>
  <si>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</si>
  <si>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</si>
  <si>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</si>
  <si>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</si>
  <si>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</si>
  <si>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</si>
  <si>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</si>
  <si>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</si>
  <si>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</si>
  <si>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</si>
  <si>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</si>
  <si>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</si>
  <si>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</si>
  <si>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</si>
  <si>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</si>
  <si>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</si>
  <si>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</si>
  <si>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</si>
  <si>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</si>
  <si>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</si>
  <si>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</si>
  <si>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</si>
  <si>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</si>
  <si>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</si>
  <si>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</si>
  <si>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</si>
  <si>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</si>
  <si>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</si>
  <si>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</si>
  <si>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</si>
  <si>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</si>
  <si>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</si>
  <si>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</si>
  <si>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</si>
  <si>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</si>
  <si>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</si>
  <si>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</si>
  <si>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</si>
  <si>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</si>
  <si>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</si>
  <si>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</si>
  <si>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</si>
  <si>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</si>
  <si>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</si>
  <si>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</si>
  <si>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</si>
  <si>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0300.HK</t>
  </si>
  <si>
    <t>美的集團</t>
  </si>
  <si>
    <t xml:space="preserve">Superior Cycl. 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</si>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</sst>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285</v>
      </c>
      <c r="D4" s="66"/>
    </row>
    <row r="5" spans="1:5" x14ac:dyDescent="0.35">
      <c r="B5" s="46" t="s">
        <v>168</v>
      </c>
      <c r="C5" s="67" t="s">
        <v>286</v>
      </c>
    </row>
    <row r="6" spans="1:5" x14ac:dyDescent="0.35">
      <c r="B6" s="46" t="s">
        <v>268</v>
      </c>
      <c r="C6" s="68">
        <v>45625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287</v>
      </c>
    </row>
    <row r="9" spans="1:5" x14ac:dyDescent="0.35">
      <c r="B9" s="39" t="s">
        <v>189</v>
      </c>
      <c r="C9" s="119" t="s">
        <v>274</v>
      </c>
    </row>
    <row r="10" spans="1:5" x14ac:dyDescent="0.35">
      <c r="B10" s="39" t="s">
        <v>190</v>
      </c>
      <c r="C10" s="70">
        <v>7655673083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283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284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373709804</v>
      </c>
      <c r="D25" s="77">
        <v>345708706</v>
      </c>
      <c r="E25" s="77">
        <v>343360825</v>
      </c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275320160</v>
      </c>
      <c r="D26" s="78">
        <v>262321797</v>
      </c>
      <c r="E26" s="78">
        <v>266450882</v>
      </c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34880794+13975965</f>
        <v>48856759</v>
      </c>
      <c r="D27" s="78">
        <f>28715439+12023970</f>
        <v>40739409</v>
      </c>
      <c r="E27" s="78">
        <f>28646188+10742475</f>
        <v>39388663</v>
      </c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14586346</v>
      </c>
      <c r="D28" s="78">
        <v>12667099</v>
      </c>
      <c r="E28" s="78">
        <v>12014891</v>
      </c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3372815</v>
      </c>
      <c r="D29" s="78">
        <v>1902422</v>
      </c>
      <c r="E29" s="78">
        <v>1299556</v>
      </c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258783</v>
      </c>
      <c r="E30" s="302">
        <v>444448</v>
      </c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25417</v>
      </c>
      <c r="D31" s="78">
        <v>258783</v>
      </c>
      <c r="E31" s="78">
        <v>444448</v>
      </c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 t="str">
        <f>IF(C44="","",C44*Exchange_Rate/Dashboard!$G$3)</f>
        <v/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275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373709804</v>
      </c>
      <c r="D91" s="98"/>
      <c r="E91" s="99">
        <f>C91</f>
        <v>373709804</v>
      </c>
      <c r="F91" s="99">
        <f>C91</f>
        <v>373709804</v>
      </c>
    </row>
    <row r="92" spans="2:8" x14ac:dyDescent="0.35">
      <c r="B92" s="100" t="s">
        <v>97</v>
      </c>
      <c r="C92" s="97">
        <f>C26</f>
        <v>275320160</v>
      </c>
      <c r="D92" s="101">
        <f>C92/C91</f>
        <v>0.73672180139004328</v>
      </c>
      <c r="E92" s="102">
        <f>E91*D92</f>
        <v>275320160</v>
      </c>
      <c r="F92" s="102">
        <f>F91*D92</f>
        <v>275320160</v>
      </c>
    </row>
    <row r="93" spans="2:8" x14ac:dyDescent="0.35">
      <c r="B93" s="100" t="s">
        <v>216</v>
      </c>
      <c r="C93" s="97">
        <f>C27+C28</f>
        <v>63443105</v>
      </c>
      <c r="D93" s="101">
        <f>C93/C91</f>
        <v>0.16976569605864555</v>
      </c>
      <c r="E93" s="102">
        <f>E91*D93</f>
        <v>63443105</v>
      </c>
      <c r="F93" s="102">
        <f>F91*D93</f>
        <v>63443105</v>
      </c>
    </row>
    <row r="94" spans="2:8" x14ac:dyDescent="0.35">
      <c r="B94" s="100" t="s">
        <v>222</v>
      </c>
      <c r="C94" s="97">
        <f>C29</f>
        <v>3372815</v>
      </c>
      <c r="D94" s="101">
        <f>C94/C91</f>
        <v>9.0252248239117653E-3</v>
      </c>
      <c r="E94" s="103"/>
      <c r="F94" s="102">
        <f>F91*D94</f>
        <v>3372815.0000000005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33889.333333333336</v>
      </c>
      <c r="D97" s="101">
        <f>C97/C91</f>
        <v>9.0683554379893485E-5</v>
      </c>
      <c r="E97" s="103"/>
      <c r="F97" s="102">
        <f>F91*D97</f>
        <v>33889.333333333336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0300.HK : 美的集團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0300.HK</v>
      </c>
      <c r="D3" s="313"/>
      <c r="E3" s="3"/>
      <c r="F3" s="9" t="s">
        <v>1</v>
      </c>
      <c r="G3" s="10">
        <v>75.099999999999994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美的集團</v>
      </c>
      <c r="D4" s="315"/>
      <c r="E4" s="3"/>
      <c r="F4" s="9" t="s">
        <v>2</v>
      </c>
      <c r="G4" s="318">
        <f>Inputs!C10</f>
        <v>7655673083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45625</v>
      </c>
      <c r="D5" s="317"/>
      <c r="E5" s="16"/>
      <c r="F5" s="12" t="s">
        <v>91</v>
      </c>
      <c r="G5" s="321">
        <f>G3*G4/1000000</f>
        <v>574941.04853329994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9.3421818996931277E-2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9.0252248239117653E-3</v>
      </c>
      <c r="F24" s="39" t="s">
        <v>224</v>
      </c>
      <c r="G24" s="43">
        <f>G3/(Fin_Analysis!H86*G7)</f>
        <v>22.898385880890679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31.518546333794994</v>
      </c>
      <c r="D29" s="54">
        <f>G29*(1+G20)</f>
        <v>54.82030321184309</v>
      </c>
      <c r="E29" s="3"/>
      <c r="F29" s="55">
        <f>IF(Fin_Analysis!C108="Profit",Fin_Analysis!F100,IF(Fin_Analysis!C108="Dividend",Fin_Analysis!F103,Fin_Analysis!F106))</f>
        <v>37.080642745641171</v>
      </c>
      <c r="G29" s="320">
        <f>IF(Fin_Analysis!C108="Profit",Fin_Analysis!I100,IF(Fin_Analysis!C108="Dividend",Fin_Analysis!I103,Fin_Analysis!I106))</f>
        <v>47.669828879863559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34912649.666666664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373709804</v>
      </c>
      <c r="D6" s="142">
        <f>IF(Inputs!D25="","",Inputs!D25)</f>
        <v>345708706</v>
      </c>
      <c r="E6" s="142">
        <f>IF(Inputs!E25="","",Inputs!E25)</f>
        <v>343360825</v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8.099621882244401E-2</v>
      </c>
      <c r="D7" s="143">
        <f t="shared" si="1"/>
        <v>6.8379408163410371E-3</v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275320160</v>
      </c>
      <c r="D8" s="144">
        <f>IF(Inputs!D26="","",Inputs!D26)</f>
        <v>262321797</v>
      </c>
      <c r="E8" s="144">
        <f>IF(Inputs!E26="","",Inputs!E26)</f>
        <v>266450882</v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98389644</v>
      </c>
      <c r="D9" s="273">
        <f t="shared" si="2"/>
        <v>83386909</v>
      </c>
      <c r="E9" s="273">
        <f t="shared" si="2"/>
        <v>76909943</v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48856759</v>
      </c>
      <c r="D10" s="144">
        <f>IF(Inputs!D27="","",Inputs!D27)</f>
        <v>40739409</v>
      </c>
      <c r="E10" s="144">
        <f>IF(Inputs!E27="","",Inputs!E27)</f>
        <v>39388663</v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14586346</v>
      </c>
      <c r="D11" s="144">
        <f>IF(Inputs!D28="","",Inputs!D28)</f>
        <v>12667099</v>
      </c>
      <c r="E11" s="144">
        <f>IF(Inputs!E28="","",Inputs!E28)</f>
        <v>12014891</v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33889.333333333336</v>
      </c>
      <c r="D12" s="144">
        <f>IF(Inputs!D31="","",MAX(Inputs!D31,0)/(1-Fin_Analysis!$I$84))</f>
        <v>345044</v>
      </c>
      <c r="E12" s="144">
        <f>IF(Inputs!E31="","",MAX(Inputs!E31,0)/(1-Fin_Analysis!$I$84))</f>
        <v>592597.33333333337</v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9.3421818996931277E-2</v>
      </c>
      <c r="D13" s="292">
        <f t="shared" si="3"/>
        <v>8.5723490573592909E-2</v>
      </c>
      <c r="E13" s="292">
        <f t="shared" si="3"/>
        <v>7.2558631773635404E-2</v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34912649.666666664</v>
      </c>
      <c r="D14" s="294">
        <f t="shared" ref="D14:M14" si="4">IF(D6="","",D9-D10-MAX(D11,0)-MAX(D12,0))</f>
        <v>29635357</v>
      </c>
      <c r="E14" s="294">
        <f t="shared" si="4"/>
        <v>24913791.666666668</v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0.17807420597857701</v>
      </c>
      <c r="D15" s="296">
        <f t="shared" ref="D15:M15" si="5">IF(E14="","",IF(ABS(D14+E14)=ABS(D14)+ABS(E14),IF(D14&lt;0,-1,1)*(D14-E14)/E14,"Turn"))</f>
        <v>0.18951612811511689</v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-29376574</v>
      </c>
      <c r="E16" s="147">
        <f t="shared" si="6"/>
        <v>-24469343.666666668</v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258783</v>
      </c>
      <c r="E17" s="307">
        <f>IF(Inputs!E30="","",Inputs!E30)</f>
        <v>444448</v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3372815</v>
      </c>
      <c r="D19" s="144">
        <f>IF(Inputs!D29="","",Inputs!D29)</f>
        <v>1902422</v>
      </c>
      <c r="E19" s="144">
        <f>IF(Inputs!E29="","",Inputs!E29)</f>
        <v>1299556</v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31539834.666666664</v>
      </c>
      <c r="D24" s="309">
        <f t="shared" si="9"/>
        <v>27732935</v>
      </c>
      <c r="E24" s="309">
        <f t="shared" si="9"/>
        <v>23614235.666666668</v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6.3297445629764637E-2</v>
      </c>
      <c r="D25" s="143">
        <f t="shared" si="10"/>
        <v>6.0165396152910305E-2</v>
      </c>
      <c r="E25" s="143">
        <f t="shared" si="10"/>
        <v>5.1580365203281416E-2</v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23654876</v>
      </c>
      <c r="D26" s="276">
        <f>IF(D6="","",D24*(1-Fin_Analysis!$I$84))</f>
        <v>20799701.25</v>
      </c>
      <c r="E26" s="276">
        <f>IF(E6="","",E24*(1-Fin_Analysis!$I$84))</f>
        <v>17710676.75</v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0.13726998843312713</v>
      </c>
      <c r="D27" s="305">
        <f t="shared" si="11"/>
        <v>0.17441594940746688</v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0.73672180139004328</v>
      </c>
      <c r="D42" s="150">
        <f t="shared" si="35"/>
        <v>0.75879430412724402</v>
      </c>
      <c r="E42" s="150">
        <f t="shared" si="35"/>
        <v>0.77600839292018831</v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0.16976569605864555</v>
      </c>
      <c r="D43" s="146">
        <f t="shared" si="36"/>
        <v>0.15448412803350112</v>
      </c>
      <c r="E43" s="146">
        <f t="shared" si="36"/>
        <v>0.1497071018512377</v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9.0252248239117653E-3</v>
      </c>
      <c r="D45" s="146">
        <f t="shared" si="38"/>
        <v>5.5029623697124943E-3</v>
      </c>
      <c r="E45" s="146">
        <f t="shared" si="38"/>
        <v>3.7848115025935179E-3</v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9.0683554379893485E-5</v>
      </c>
      <c r="D46" s="146">
        <f t="shared" si="39"/>
        <v>9.9807726566191824E-4</v>
      </c>
      <c r="E46" s="146">
        <f t="shared" si="39"/>
        <v>1.7258734549386446E-3</v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8.4396594173019507E-2</v>
      </c>
      <c r="D48" s="281">
        <f t="shared" si="41"/>
        <v>8.0220528203880412E-2</v>
      </c>
      <c r="E48" s="281">
        <f t="shared" si="41"/>
        <v>6.8773820271041897E-2</v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0.10693825873363277</v>
      </c>
      <c r="D57" s="146">
        <f t="shared" si="48"/>
        <v>6.8597932386168292E-2</v>
      </c>
      <c r="E57" s="146">
        <f t="shared" si="48"/>
        <v>5.5032736114953934E-2</v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373709804</v>
      </c>
      <c r="D74" s="98"/>
      <c r="E74" s="256">
        <f>Inputs!E91</f>
        <v>373709804</v>
      </c>
      <c r="F74" s="98"/>
      <c r="H74" s="256">
        <f>Inputs!F91</f>
        <v>373709804</v>
      </c>
      <c r="I74" s="98"/>
      <c r="K74" s="75"/>
    </row>
    <row r="75" spans="1:11" ht="15" customHeight="1" x14ac:dyDescent="0.35">
      <c r="B75" s="100" t="s">
        <v>97</v>
      </c>
      <c r="C75" s="97">
        <f>Data!C8</f>
        <v>275320160</v>
      </c>
      <c r="D75" s="101">
        <f>C75/$C$74</f>
        <v>0.73672180139004328</v>
      </c>
      <c r="E75" s="256">
        <f>Inputs!E92</f>
        <v>275320160</v>
      </c>
      <c r="F75" s="211">
        <f>E75/E74</f>
        <v>0.73672180139004328</v>
      </c>
      <c r="H75" s="256">
        <f>Inputs!F92</f>
        <v>275320160</v>
      </c>
      <c r="I75" s="211">
        <f>H75/$H$74</f>
        <v>0.73672180139004328</v>
      </c>
      <c r="K75" s="75"/>
    </row>
    <row r="76" spans="1:11" ht="15" customHeight="1" x14ac:dyDescent="0.35">
      <c r="B76" s="12" t="s">
        <v>87</v>
      </c>
      <c r="C76" s="145">
        <f>C74-C75</f>
        <v>98389644</v>
      </c>
      <c r="D76" s="212"/>
      <c r="E76" s="213">
        <f>E74-E75</f>
        <v>98389644</v>
      </c>
      <c r="F76" s="212"/>
      <c r="H76" s="213">
        <f>H74-H75</f>
        <v>98389644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63443105</v>
      </c>
      <c r="D77" s="101">
        <f>C77/$C$74</f>
        <v>0.16976569605864555</v>
      </c>
      <c r="E77" s="256">
        <f>Inputs!E93</f>
        <v>63443105</v>
      </c>
      <c r="F77" s="211">
        <f>E77/E74</f>
        <v>0.16976569605864555</v>
      </c>
      <c r="H77" s="256">
        <f>Inputs!F93</f>
        <v>63443105</v>
      </c>
      <c r="I77" s="211">
        <f>H77/$H$74</f>
        <v>0.16976569605864555</v>
      </c>
      <c r="K77" s="75"/>
    </row>
    <row r="78" spans="1:11" ht="15" customHeight="1" x14ac:dyDescent="0.35">
      <c r="B78" s="93" t="s">
        <v>150</v>
      </c>
      <c r="C78" s="97">
        <f>MAX(Data!C12,0)</f>
        <v>33889.333333333336</v>
      </c>
      <c r="D78" s="101">
        <f>C78/$C$74</f>
        <v>9.0683554379893485E-5</v>
      </c>
      <c r="E78" s="214">
        <f>E74*F78</f>
        <v>33889.333333333336</v>
      </c>
      <c r="F78" s="211">
        <f>I78</f>
        <v>9.0683554379893485E-5</v>
      </c>
      <c r="H78" s="256">
        <f>Inputs!F97</f>
        <v>33889.333333333336</v>
      </c>
      <c r="I78" s="211">
        <f>H78/$H$74</f>
        <v>9.0683554379893485E-5</v>
      </c>
      <c r="K78" s="75"/>
    </row>
    <row r="79" spans="1:11" ht="15" customHeight="1" x14ac:dyDescent="0.35">
      <c r="B79" s="215" t="s">
        <v>203</v>
      </c>
      <c r="C79" s="216">
        <f>C76-C77-C78</f>
        <v>34912649.666666664</v>
      </c>
      <c r="D79" s="217">
        <f>C79/C74</f>
        <v>9.3421818996931277E-2</v>
      </c>
      <c r="E79" s="218">
        <f>E76-E77-E78</f>
        <v>34912649.666666664</v>
      </c>
      <c r="F79" s="217">
        <f>E79/E74</f>
        <v>9.3421818996931277E-2</v>
      </c>
      <c r="G79" s="219"/>
      <c r="H79" s="218">
        <f>H76-H77-H78</f>
        <v>34912649.666666664</v>
      </c>
      <c r="I79" s="217">
        <f>H79/H74</f>
        <v>9.3421818996931277E-2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3372815</v>
      </c>
      <c r="D81" s="101">
        <f>C81/$C$74</f>
        <v>9.0252248239117653E-3</v>
      </c>
      <c r="E81" s="214">
        <f>E74*F81</f>
        <v>3372815.0000000005</v>
      </c>
      <c r="F81" s="211">
        <f>I81</f>
        <v>9.0252248239117653E-3</v>
      </c>
      <c r="H81" s="256">
        <f>Inputs!F94</f>
        <v>3372815.0000000005</v>
      </c>
      <c r="I81" s="211">
        <f>H81/$H$74</f>
        <v>9.0252248239117653E-3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31539834.666666664</v>
      </c>
      <c r="D83" s="223">
        <f>C83/$C$74</f>
        <v>8.4396594173019507E-2</v>
      </c>
      <c r="E83" s="224">
        <f>E79-E81-E82-E80</f>
        <v>31539834.666666664</v>
      </c>
      <c r="F83" s="223">
        <f>E83/E74</f>
        <v>8.4396594173019507E-2</v>
      </c>
      <c r="H83" s="224">
        <f>H79-H81-H82-H80</f>
        <v>31539834.666666664</v>
      </c>
      <c r="I83" s="223">
        <f>H83/$H$74</f>
        <v>8.4396594173019507E-2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23654876</v>
      </c>
      <c r="D85" s="217">
        <f>C85/$C$74</f>
        <v>6.3297445629764637E-2</v>
      </c>
      <c r="E85" s="229">
        <f>E83*(1-F84)</f>
        <v>23654876</v>
      </c>
      <c r="F85" s="217">
        <f>E85/E74</f>
        <v>6.3297445629764637E-2</v>
      </c>
      <c r="G85" s="219"/>
      <c r="H85" s="229">
        <f>H83*(1-I84)</f>
        <v>23654876</v>
      </c>
      <c r="I85" s="217">
        <f>H85/$H$74</f>
        <v>6.3297445629764637E-2</v>
      </c>
      <c r="K85" s="75"/>
    </row>
    <row r="86" spans="1:11" ht="15" customHeight="1" x14ac:dyDescent="0.35">
      <c r="B86" s="3" t="s">
        <v>143</v>
      </c>
      <c r="C86" s="230">
        <f>C85*Data!C4/Common_Shares</f>
        <v>3.0898492847777734</v>
      </c>
      <c r="D86" s="98"/>
      <c r="E86" s="231">
        <f>E85*Data!C4/Common_Shares</f>
        <v>3.0898492847777734</v>
      </c>
      <c r="F86" s="98"/>
      <c r="H86" s="231">
        <f>H85*Data!C4/Common_Shares</f>
        <v>3.0898492847777734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4.3671200459353209E-2</v>
      </c>
      <c r="D87" s="98"/>
      <c r="E87" s="233">
        <f>E86*Exchange_Rate/Dashboard!G3</f>
        <v>4.3671200459353209E-2</v>
      </c>
      <c r="F87" s="98"/>
      <c r="H87" s="233">
        <f>H86*Exchange_Rate/Dashboard!G3</f>
        <v>4.3671200459353209E-2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64.85427591614355</v>
      </c>
      <c r="H93" s="3" t="s">
        <v>182</v>
      </c>
      <c r="I93" s="237">
        <f>FV(H87,D93,0,-(H86/(C93-D94)))*Exchange_Rate</f>
        <v>64.85427591614355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283877278.56814432</v>
      </c>
      <c r="D97" s="244"/>
      <c r="E97" s="245">
        <f>PV(C94,D93,0,-F93)</f>
        <v>37.080642745641171</v>
      </c>
      <c r="F97" s="244"/>
      <c r="H97" s="245">
        <f>PV(C94,D93,0,-I93)</f>
        <v>37.080642745641171</v>
      </c>
      <c r="I97" s="245">
        <f>PV(C93,D93,0,-I93)</f>
        <v>47.669828879863559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31.518546333794994</v>
      </c>
      <c r="E100" s="251">
        <f>MAX(E97+H98+E99,0)</f>
        <v>37.080642745641171</v>
      </c>
      <c r="F100" s="251">
        <f>(E100+H100)/2</f>
        <v>37.080642745641171</v>
      </c>
      <c r="H100" s="251">
        <f>MAX(H97+H98+H99,0)</f>
        <v>37.080642745641171</v>
      </c>
      <c r="I100" s="251">
        <f>MAX(I97+H98+H99,0)</f>
        <v>47.669828879863559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15.759273166897497</v>
      </c>
      <c r="E106" s="245">
        <f>(E100+E103)/2</f>
        <v>18.540321372820586</v>
      </c>
      <c r="F106" s="251">
        <f>(F100+F103)/2</f>
        <v>18.540321372820586</v>
      </c>
      <c r="H106" s="245">
        <f>(H100+H103)/2</f>
        <v>18.540321372820586</v>
      </c>
      <c r="I106" s="245">
        <f>(I100+I103)/2</f>
        <v>23.834914439931779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