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BF0A01A-0BAC-45F1-B425-690210926CD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E93" i="4"/>
  <c r="F92" i="4"/>
  <c r="E92" i="4"/>
  <c r="F91" i="4"/>
  <c r="F97" i="4" s="1"/>
  <c r="E91" i="4"/>
  <c r="D69" i="4"/>
  <c r="D68" i="4"/>
  <c r="D63" i="4"/>
  <c r="D62" i="4"/>
  <c r="D61" i="4"/>
  <c r="D60" i="4"/>
  <c r="D59" i="4"/>
  <c r="D58" i="4"/>
  <c r="D71" i="4" s="1"/>
  <c r="D55" i="4"/>
  <c r="D53" i="4"/>
  <c r="D50" i="4"/>
  <c r="D56" i="4" s="1"/>
  <c r="D17" i="2" l="1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G29" i="2" l="1"/>
  <c r="D29" i="2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<sst xmlns="http://schemas.openxmlformats.org/spreadsheetml/2006/main" count="405" uniqueCount="292">
  <si>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</si>
  <si>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</si>
  <si>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</si>
  <si>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</si>
  <si>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</si>
  <si>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</si>
  <si>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</si>
  <si>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</si>
  <si>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</si>
  <si>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</si>
  <si>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</si>
  <si>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</si>
  <si>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</si>
  <si>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</si>
  <si>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</si>
  <si>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</si>
  <si>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</si>
  <si>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</si>
  <si>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</si>
  <si>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</si>
  <si>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</si>
  <si>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</si>
  <si>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</si>
  <si>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</si>
  <si>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</si>
  <si>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</si>
  <si>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</si>
  <si>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</si>
  <si>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</si>
  <si>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</si>
  <si>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</si>
  <si>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</si>
  <si>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</si>
  <si>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</si>
  <si>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</si>
  <si>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</si>
  <si>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</si>
  <si>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</si>
  <si>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</si>
  <si>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</si>
  <si>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</si>
  <si>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</si>
  <si>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</si>
  <si>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</si>
  <si>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</si>
  <si>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</si>
  <si>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</si>
  <si>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</si>
  <si>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</si>
  <si>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</si>
  <si>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</si>
  <si>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</si>
  <si>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</si>
  <si>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</si>
  <si>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</si>
  <si>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</si>
  <si>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</si>
  <si>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</si>
  <si>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</si>
  <si>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</si>
  <si>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</si>
  <si>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</si>
  <si>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</si>
  <si>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</si>
  <si>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</si>
  <si>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</si>
  <si>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</si>
  <si>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</si>
  <si>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</si>
  <si>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</si>
  <si>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</si>
  <si>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</si>
  <si>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</si>
  <si>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</si>
  <si>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</si>
  <si>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</si>
  <si>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</si>
  <si>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</si>
  <si>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</si>
  <si>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</si>
  <si>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</si>
  <si>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</si>
  <si>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</si>
  <si>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</si>
  <si>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</si>
  <si>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</si>
  <si>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</si>
  <si>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</si>
  <si>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</si>
  <si>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</si>
  <si>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</si>
  <si>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</si>
  <si>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</si>
  <si>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</si>
  <si>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</si>
  <si>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</si>
  <si>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</si>
  <si>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</si>
  <si>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</si>
  <si>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</si>
  <si>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</si>
  <si>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</si>
  <si>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</si>
  <si>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</si>
  <si>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</si>
  <si>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</si>
  <si>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</si>
  <si>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</si>
  <si>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</si>
  <si>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</si>
  <si>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</si>
  <si>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</si>
  <si>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</si>
  <si>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</si>
  <si>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</si>
  <si>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</si>
  <si>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</si>
  <si>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</si>
  <si>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</si>
  <si>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</si>
  <si>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</si>
  <si>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</si>
  <si>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</si>
  <si>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</si>
  <si>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</si>
  <si>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</si>
  <si>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</si>
  <si>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</si>
  <si>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</si>
  <si>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</si>
  <si>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</si>
  <si>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</si>
  <si>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</si>
  <si>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</si>
  <si>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</si>
  <si>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</si>
  <si>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</si>
  <si>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</si>
  <si>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</si>
  <si>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</si>
  <si>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</si>
  <si>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</si>
  <si>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</si>
  <si>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</si>
  <si>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</si>
  <si>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</si>
  <si>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</si>
  <si>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</si>
  <si>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</si>
  <si>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</si>
  <si>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</si>
  <si>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</si>
  <si>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</si>
  <si>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</si>
  <si>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</si>
  <si>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</si>
  <si>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</si>
  <si>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</si>
  <si>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</si>
  <si>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</si>
  <si>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</si>
  <si>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</si>
  <si>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</si>
  <si>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</si>
  <si>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</si>
  <si>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</si>
  <si>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</si>
  <si>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</si>
  <si>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</si>
  <si>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</si>
  <si>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</si>
  <si>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</si>
  <si>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</si>
  <si>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</si>
  <si>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</si>
  <si>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</si>
  <si>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</si>
  <si>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</si>
  <si>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</si>
  <si>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</si>
  <si>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</si>
  <si>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</si>
  <si>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</si>
  <si>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</si>
  <si>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</si>
  <si>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</si>
  <si>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</si>
  <si>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</si>
  <si>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</si>
  <si>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</si>
  <si>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</si>
  <si>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</si>
  <si>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</si>
  <si>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</si>
  <si>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</si>
  <si>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</si>
  <si>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</si>
  <si>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</si>
  <si>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</si>
  <si>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</si>
  <si>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</si>
  <si>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</si>
  <si>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</si>
  <si>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</si>
  <si>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</si>
  <si>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</si>
  <si>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</si>
  <si>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</si>
  <si>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</si>
  <si>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</si>
  <si>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</si>
  <si>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</si>
  <si>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</si>
  <si>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</si>
  <si>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</si>
  <si>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</si>
  <si>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</si>
  <si>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</si>
  <si>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</si>
  <si>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</si>
  <si>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</si>
  <si>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</si>
  <si>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</si>
  <si>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</si>
  <si>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</si>
  <si>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</si>
  <si>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</si>
  <si>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</si>
  <si>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</si>
  <si>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</si>
  <si>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</si>
  <si>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</si>
  <si>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</si>
  <si>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</si>
  <si>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</si>
  <si>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</si>
  <si>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</si>
  <si>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</si>
  <si>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</si>
  <si>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</si>
  <si>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</si>
  <si>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</si>
  <si>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</si>
  <si>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</si>
  <si>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</si>
  <si>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</si>
  <si>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</si>
  <si>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</si>
  <si>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</si>
  <si>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</si>
  <si>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</si>
  <si>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</si>
  <si>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</si>
  <si>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</si>
  <si>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</si>
  <si>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</si>
  <si>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</si>
  <si>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</si>
  <si>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</si>
  <si>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</si>
  <si>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</si>
  <si>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</si>
  <si>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</si>
  <si>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</si>
  <si>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</si>
  <si>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</si>
  <si>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</si>
  <si>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</si>
  <si>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</si>
  <si>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</si>
  <si>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</si>
  <si>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</si>
  <si>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</si>
  <si>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</si>
  <si>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</si>
  <si>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</si>
  <si>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</si>
  <si>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</si>
  <si>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</si>
  <si>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</si>
  <si>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</si>
  <si>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</si>
  <si>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</si>
  <si>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</si>
  <si>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0345.HK</t>
  </si>
  <si>
    <t>維他奶國際</t>
  </si>
  <si>
    <t>Tier 1</t>
  </si>
  <si>
    <t>C0002</t>
  </si>
  <si>
    <t>agree</t>
  </si>
  <si>
    <t>Strongly disagree</t>
  </si>
  <si>
    <t>disagree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</si>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</sst>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284</v>
      </c>
      <c r="D4" s="66"/>
    </row>
    <row r="5" spans="1:5" x14ac:dyDescent="0.35">
      <c r="B5" s="46" t="s">
        <v>169</v>
      </c>
      <c r="C5" s="67" t="s">
        <v>285</v>
      </c>
    </row>
    <row r="6" spans="1:5" x14ac:dyDescent="0.35">
      <c r="B6" s="46" t="s">
        <v>269</v>
      </c>
      <c r="C6" s="68">
        <v>45644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286</v>
      </c>
    </row>
    <row r="9" spans="1:5" x14ac:dyDescent="0.35">
      <c r="B9" s="39" t="s">
        <v>190</v>
      </c>
      <c r="C9" s="119" t="s">
        <v>287</v>
      </c>
    </row>
    <row r="10" spans="1:5" x14ac:dyDescent="0.35">
      <c r="B10" s="39" t="s">
        <v>191</v>
      </c>
      <c r="C10" s="70">
        <v>1071750016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45382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45382</v>
      </c>
    </row>
    <row r="15" spans="1:5" x14ac:dyDescent="0.35">
      <c r="B15" s="71" t="s">
        <v>222</v>
      </c>
      <c r="C15" s="117" t="s">
        <v>283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288</v>
      </c>
      <c r="D17" s="75"/>
    </row>
    <row r="18" spans="2:13" x14ac:dyDescent="0.35">
      <c r="B18" s="56" t="s">
        <v>210</v>
      </c>
      <c r="C18" s="121" t="s">
        <v>289</v>
      </c>
      <c r="D18" s="75"/>
    </row>
    <row r="19" spans="2:13" x14ac:dyDescent="0.35">
      <c r="B19" s="56" t="s">
        <v>211</v>
      </c>
      <c r="C19" s="121" t="s">
        <v>290</v>
      </c>
      <c r="D19" s="75"/>
    </row>
    <row r="20" spans="2:13" x14ac:dyDescent="0.35">
      <c r="B20" s="57" t="s">
        <v>200</v>
      </c>
      <c r="C20" s="121" t="s">
        <v>215</v>
      </c>
      <c r="D20" s="75"/>
    </row>
    <row r="21" spans="2:13" x14ac:dyDescent="0.35">
      <c r="B21" s="2" t="s">
        <v>203</v>
      </c>
      <c r="C21" s="121" t="s">
        <v>290</v>
      </c>
      <c r="D21" s="75"/>
    </row>
    <row r="22" spans="2:13" ht="69.75" x14ac:dyDescent="0.35">
      <c r="B22" s="59" t="s">
        <v>202</v>
      </c>
      <c r="C22" s="122" t="s">
        <v>291</v>
      </c>
      <c r="D22" s="75"/>
    </row>
    <row r="24" spans="2:13" x14ac:dyDescent="0.35">
      <c r="B24" s="76" t="s">
        <v>279</v>
      </c>
      <c r="C24" s="286">
        <f>C12</f>
        <v>45382</v>
      </c>
      <c r="D24" s="287">
        <f>EOMONTH(EDATE(C24,-12),0)</f>
        <v>45016</v>
      </c>
      <c r="E24" s="287">
        <f t="shared" ref="E24:M24" si="0">EOMONTH(EDATE(D24,-12),0)</f>
        <v>44651</v>
      </c>
      <c r="F24" s="287">
        <f t="shared" si="0"/>
        <v>44286</v>
      </c>
      <c r="G24" s="287">
        <f t="shared" si="0"/>
        <v>43921</v>
      </c>
      <c r="H24" s="287">
        <f t="shared" si="0"/>
        <v>43555</v>
      </c>
      <c r="I24" s="287">
        <f t="shared" si="0"/>
        <v>43190</v>
      </c>
      <c r="J24" s="287">
        <f t="shared" si="0"/>
        <v>42825</v>
      </c>
      <c r="K24" s="287">
        <f t="shared" si="0"/>
        <v>42460</v>
      </c>
      <c r="L24" s="287">
        <f t="shared" si="0"/>
        <v>42094</v>
      </c>
      <c r="M24" s="287">
        <f t="shared" si="0"/>
        <v>41729</v>
      </c>
    </row>
    <row r="25" spans="2:13" x14ac:dyDescent="0.35">
      <c r="B25" s="263" t="s">
        <v>12</v>
      </c>
      <c r="C25" s="77">
        <v>6217123</v>
      </c>
      <c r="D25" s="77">
        <v>6340559</v>
      </c>
      <c r="E25" s="77">
        <v>6501215</v>
      </c>
      <c r="F25" s="77">
        <v>7519817</v>
      </c>
      <c r="G25" s="77">
        <v>7232641</v>
      </c>
      <c r="H25" s="77"/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3102284</v>
      </c>
      <c r="D26" s="78">
        <v>3006689</v>
      </c>
      <c r="E26" s="78">
        <v>3043646</v>
      </c>
      <c r="F26" s="78">
        <v>3945412</v>
      </c>
      <c r="G26" s="78">
        <v>3845575</v>
      </c>
      <c r="H26" s="78"/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v>2918521</v>
      </c>
      <c r="D27" s="78">
        <v>2974612</v>
      </c>
      <c r="E27" s="78">
        <v>3220542</v>
      </c>
      <c r="F27" s="78">
        <v>3305484</v>
      </c>
      <c r="G27" s="78">
        <v>3153365</v>
      </c>
      <c r="H27" s="78"/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30028</v>
      </c>
      <c r="D29" s="78">
        <v>32547</v>
      </c>
      <c r="E29" s="78">
        <v>23071</v>
      </c>
      <c r="F29" s="78">
        <v>11770</v>
      </c>
      <c r="G29" s="78">
        <v>10932</v>
      </c>
      <c r="H29" s="78"/>
      <c r="I29" s="78"/>
      <c r="J29" s="78"/>
      <c r="K29" s="78"/>
      <c r="L29" s="78"/>
      <c r="M29" s="78"/>
    </row>
    <row r="30" spans="2:13" x14ac:dyDescent="0.35">
      <c r="B30" s="303" t="s">
        <v>277</v>
      </c>
      <c r="C30" s="302"/>
      <c r="D30" s="302">
        <v>-24664</v>
      </c>
      <c r="E30" s="302">
        <v>-2631</v>
      </c>
      <c r="F30" s="302">
        <v>41162</v>
      </c>
      <c r="G30" s="302">
        <v>33713</v>
      </c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1421</v>
      </c>
      <c r="D31" s="78">
        <v>-24664</v>
      </c>
      <c r="E31" s="78">
        <v>-2631</v>
      </c>
      <c r="F31" s="78">
        <v>41162</v>
      </c>
      <c r="G31" s="78">
        <v>33713</v>
      </c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>
        <v>75275</v>
      </c>
      <c r="D32" s="78">
        <v>-173926</v>
      </c>
      <c r="E32" s="78">
        <v>-350301</v>
      </c>
      <c r="F32" s="78">
        <v>158170</v>
      </c>
      <c r="G32" s="78">
        <v>230171</v>
      </c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>
        <v>522974</v>
      </c>
      <c r="D33" s="78">
        <v>529613</v>
      </c>
      <c r="E33" s="78">
        <v>559617</v>
      </c>
      <c r="F33" s="78">
        <v>487848</v>
      </c>
      <c r="G33" s="78">
        <v>402587</v>
      </c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>
        <v>146298</v>
      </c>
      <c r="D34" s="78">
        <v>187473</v>
      </c>
      <c r="E34" s="78">
        <v>409507</v>
      </c>
      <c r="F34" s="78">
        <v>649581</v>
      </c>
      <c r="G34" s="78">
        <v>1078390</v>
      </c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>
        <v>2524058</v>
      </c>
      <c r="D37" s="78">
        <v>2748929</v>
      </c>
      <c r="E37" s="78">
        <v>3238021</v>
      </c>
      <c r="F37" s="78">
        <v>3319536</v>
      </c>
      <c r="G37" s="78">
        <v>2992391</v>
      </c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3112637</v>
      </c>
      <c r="D41" s="302">
        <v>3100590</v>
      </c>
      <c r="E41" s="302">
        <v>3569099</v>
      </c>
      <c r="F41" s="302">
        <v>3956874</v>
      </c>
      <c r="G41" s="302">
        <v>3418104</v>
      </c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108077</v>
      </c>
      <c r="D42" s="78">
        <v>115875</v>
      </c>
      <c r="E42" s="78">
        <v>311186</v>
      </c>
      <c r="F42" s="78">
        <v>340821</v>
      </c>
      <c r="G42" s="78">
        <v>289714</v>
      </c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v>1.2962910933140588E-2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1.3587956952977557E-3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/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/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/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/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/>
      <c r="D66" s="109">
        <v>0.3</v>
      </c>
      <c r="E66" s="261" t="s">
        <v>64</v>
      </c>
    </row>
    <row r="67" spans="2:5" x14ac:dyDescent="0.35">
      <c r="B67" s="2" t="s">
        <v>42</v>
      </c>
      <c r="C67" s="86"/>
      <c r="D67" s="109">
        <v>0.2</v>
      </c>
      <c r="E67" s="261" t="s">
        <v>39</v>
      </c>
    </row>
    <row r="68" spans="2:5" x14ac:dyDescent="0.35">
      <c r="B68" s="9" t="s">
        <v>108</v>
      </c>
      <c r="C68" s="86"/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/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/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/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/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/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278</v>
      </c>
      <c r="C82" s="79"/>
    </row>
    <row r="83" spans="2:8" hidden="1" x14ac:dyDescent="0.35">
      <c r="B83" s="300" t="s">
        <v>247</v>
      </c>
      <c r="C83" s="79"/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275</v>
      </c>
      <c r="D87" s="108">
        <v>0.03</v>
      </c>
    </row>
    <row r="89" spans="2:8" x14ac:dyDescent="0.35">
      <c r="B89" s="94" t="s">
        <v>116</v>
      </c>
      <c r="C89" s="310">
        <f>C24</f>
        <v>45382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6217123</v>
      </c>
      <c r="D91" s="98"/>
      <c r="E91" s="99">
        <f>C91</f>
        <v>6217123</v>
      </c>
      <c r="F91" s="99">
        <f>C91</f>
        <v>6217123</v>
      </c>
    </row>
    <row r="92" spans="2:8" x14ac:dyDescent="0.35">
      <c r="B92" s="100" t="s">
        <v>98</v>
      </c>
      <c r="C92" s="97">
        <f>C26</f>
        <v>3102284</v>
      </c>
      <c r="D92" s="101">
        <f>C92/C91</f>
        <v>0.49899028859490152</v>
      </c>
      <c r="E92" s="102">
        <f>E91*D92</f>
        <v>3102284</v>
      </c>
      <c r="F92" s="102">
        <f>F91*D92</f>
        <v>3102284</v>
      </c>
    </row>
    <row r="93" spans="2:8" x14ac:dyDescent="0.35">
      <c r="B93" s="100" t="s">
        <v>217</v>
      </c>
      <c r="C93" s="97">
        <f>C27+C28</f>
        <v>2918521</v>
      </c>
      <c r="D93" s="101">
        <f>C93/C91</f>
        <v>0.46943272635912142</v>
      </c>
      <c r="E93" s="102">
        <f>E91*D93</f>
        <v>2918521</v>
      </c>
      <c r="F93" s="102">
        <f>F91*D93</f>
        <v>2918521</v>
      </c>
    </row>
    <row r="94" spans="2:8" x14ac:dyDescent="0.35">
      <c r="B94" s="100" t="s">
        <v>223</v>
      </c>
      <c r="C94" s="97">
        <f>C29</f>
        <v>30028</v>
      </c>
      <c r="D94" s="101">
        <f>C94/C91</f>
        <v>4.8298867498680663E-3</v>
      </c>
      <c r="E94" s="103"/>
      <c r="F94" s="102">
        <f>F91*D94</f>
        <v>30028.000000000004</v>
      </c>
    </row>
    <row r="95" spans="2:8" x14ac:dyDescent="0.35">
      <c r="B95" s="18" t="s">
        <v>216</v>
      </c>
      <c r="C95" s="97">
        <f>ABS(MAX(C34,0)-C33)</f>
        <v>376676</v>
      </c>
      <c r="D95" s="101">
        <f>C95/C91</f>
        <v>6.05868663045592E-2</v>
      </c>
      <c r="E95" s="102">
        <v>0</v>
      </c>
      <c r="F95" s="102">
        <v>0</v>
      </c>
    </row>
    <row r="96" spans="2:8" x14ac:dyDescent="0.35">
      <c r="B96" s="18" t="s">
        <v>102</v>
      </c>
      <c r="C96" s="97">
        <f>MAX(C32,0)</f>
        <v>75275</v>
      </c>
      <c r="D96" s="101">
        <f>C96/C91</f>
        <v>1.210769032557342E-2</v>
      </c>
      <c r="E96" s="103"/>
      <c r="F96" s="102">
        <v>0</v>
      </c>
    </row>
    <row r="97" spans="2:6" x14ac:dyDescent="0.35">
      <c r="B97" s="93" t="s">
        <v>151</v>
      </c>
      <c r="C97" s="97">
        <f>MAX(C31,0)/(1-C16)</f>
        <v>1894.6666666666667</v>
      </c>
      <c r="D97" s="101">
        <f>C97/C91</f>
        <v>3.0474974786033133E-4</v>
      </c>
      <c r="E97" s="103"/>
      <c r="F97" s="102">
        <f>F91*D97</f>
        <v>1894.6666666666667</v>
      </c>
    </row>
    <row r="98" spans="2:6" x14ac:dyDescent="0.35">
      <c r="B98" s="8" t="s">
        <v>181</v>
      </c>
      <c r="C98" s="104">
        <f>C44</f>
        <v>1.2962910933140588E-2</v>
      </c>
      <c r="D98" s="105"/>
      <c r="E98" s="106">
        <f>F98</f>
        <v>1.2962910933140588E-2</v>
      </c>
      <c r="F98" s="106">
        <f>C98</f>
        <v>1.2962910933140588E-2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0345.HK : 維他奶國際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168</v>
      </c>
      <c r="C3" s="312" t="str">
        <f>Inputs!C4</f>
        <v>0345.HK</v>
      </c>
      <c r="D3" s="313"/>
      <c r="E3" s="3"/>
      <c r="F3" s="9" t="s">
        <v>1</v>
      </c>
      <c r="G3" s="10">
        <v>9.5399999999999991</v>
      </c>
      <c r="H3" s="11" t="s">
        <v>257</v>
      </c>
    </row>
    <row r="4" spans="1:10" ht="15.75" customHeight="1" x14ac:dyDescent="0.35">
      <c r="B4" s="12" t="s">
        <v>169</v>
      </c>
      <c r="C4" s="314" t="str">
        <f>Inputs!C5</f>
        <v>維他奶國際</v>
      </c>
      <c r="D4" s="315"/>
      <c r="E4" s="3"/>
      <c r="F4" s="9" t="s">
        <v>3</v>
      </c>
      <c r="G4" s="318">
        <f>Inputs!C10</f>
        <v>1071750016</v>
      </c>
      <c r="H4" s="318"/>
      <c r="I4" s="14"/>
    </row>
    <row r="5" spans="1:10" ht="15.75" customHeight="1" x14ac:dyDescent="0.35">
      <c r="B5" s="9" t="s">
        <v>146</v>
      </c>
      <c r="C5" s="316">
        <f>Inputs!C6</f>
        <v>45644</v>
      </c>
      <c r="D5" s="317"/>
      <c r="E5" s="16"/>
      <c r="F5" s="12" t="s">
        <v>92</v>
      </c>
      <c r="G5" s="321">
        <f>G3*G4/1000000</f>
        <v>10224.49515264</v>
      </c>
      <c r="H5" s="321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45626</v>
      </c>
      <c r="E6" s="20">
        <f>IF(Fin_Analysis!E9="FY",Fin_Analysis!D9,Data!C3)</f>
        <v>45382</v>
      </c>
      <c r="F6" s="9" t="s">
        <v>5</v>
      </c>
      <c r="G6" s="322" t="str">
        <f>Inputs!C11</f>
        <v>HKD</v>
      </c>
      <c r="H6" s="322"/>
      <c r="I6" s="17"/>
    </row>
    <row r="7" spans="1:10" ht="15.75" customHeight="1" x14ac:dyDescent="0.35">
      <c r="B7" s="8" t="s">
        <v>166</v>
      </c>
      <c r="C7" s="123" t="str">
        <f>Inputs!C8</f>
        <v>Tier 1</v>
      </c>
      <c r="D7" s="123" t="str">
        <f>Inputs!C9</f>
        <v>C0002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CN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>
        <f>C21*C22*C23</f>
        <v>6.4709419460198273E-2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3.1272235298116721E-2</v>
      </c>
      <c r="F21" s="3"/>
      <c r="G21" s="34"/>
    </row>
    <row r="22" spans="1:8" ht="15.75" customHeight="1" x14ac:dyDescent="0.35">
      <c r="B22" s="35" t="s">
        <v>245</v>
      </c>
      <c r="C22" s="36">
        <f>Data!C50</f>
        <v>1.1029731074681175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>
        <f>1/Data!C55</f>
        <v>1.8760467422850602</v>
      </c>
      <c r="F23" s="39" t="s">
        <v>164</v>
      </c>
      <c r="G23" s="40">
        <f>G3/(Data!C36*Data!C4/Common_Shares*Exchange_Rate)</f>
        <v>3.2848337768393807</v>
      </c>
    </row>
    <row r="24" spans="1:8" ht="15.75" customHeight="1" x14ac:dyDescent="0.35">
      <c r="B24" s="41" t="s">
        <v>240</v>
      </c>
      <c r="C24" s="42">
        <f>Fin_Analysis!I81</f>
        <v>4.8298867498680663E-3</v>
      </c>
      <c r="F24" s="39" t="s">
        <v>225</v>
      </c>
      <c r="G24" s="43">
        <f>G3/(Fin_Analysis!H86*G7)</f>
        <v>82.926077809507973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152</v>
      </c>
      <c r="G25" s="44">
        <f>Fin_Analysis!I88</f>
        <v>0.11267959755548618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167</v>
      </c>
      <c r="G26" s="47">
        <f>Fin_Analysis!H88*Exchange_Rate/G3</f>
        <v>1.3587956952977557E-3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9" t="s">
        <v>224</v>
      </c>
      <c r="H28" s="319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0</v>
      </c>
      <c r="D29" s="54">
        <f>G29*(1+G20)</f>
        <v>0</v>
      </c>
      <c r="E29" s="3"/>
      <c r="F29" s="55">
        <f>IF(Fin_Analysis!C108="Profit",Fin_Analysis!F100,IF(Fin_Analysis!C108="Dividend",Fin_Analysis!F103,Fin_Analysis!F106))</f>
        <v>0</v>
      </c>
      <c r="G29" s="320">
        <f>IF(Fin_Analysis!C108="Profit",Fin_Analysis!I100,IF(Fin_Analysis!C108="Dividend",Fin_Analysis!I103,Fin_Analysis!I106))</f>
        <v>0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agree</v>
      </c>
    </row>
    <row r="34" spans="1:4" ht="15.75" customHeight="1" x14ac:dyDescent="0.35">
      <c r="B34" s="57" t="s">
        <v>198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Strongly disagree</v>
      </c>
    </row>
    <row r="37" spans="1:4" ht="15.75" customHeight="1" x14ac:dyDescent="0.35">
      <c r="B37" s="56" t="s">
        <v>211</v>
      </c>
      <c r="C37" s="112" t="str">
        <f>Inputs!C19</f>
        <v>disagree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unclear</v>
      </c>
    </row>
    <row r="40" spans="1:4" ht="15.75" customHeight="1" x14ac:dyDescent="0.35">
      <c r="B40" s="2" t="s">
        <v>203</v>
      </c>
      <c r="C40" s="112" t="str">
        <f>Inputs!C21</f>
        <v>disagree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45382</v>
      </c>
      <c r="E3" s="138" t="s">
        <v>174</v>
      </c>
      <c r="F3" s="139" t="str">
        <f>H14</f>
        <v/>
      </c>
      <c r="G3" s="139">
        <f>C14</f>
        <v>194423.33333333334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122</v>
      </c>
      <c r="C5" s="286">
        <f>C3</f>
        <v>45382</v>
      </c>
      <c r="D5" s="287">
        <f>EOMONTH(EDATE(C5,-12),0)</f>
        <v>45016</v>
      </c>
      <c r="E5" s="287">
        <f t="shared" ref="E5:M5" si="0">EOMONTH(EDATE(D5,-12),0)</f>
        <v>44651</v>
      </c>
      <c r="F5" s="287">
        <f t="shared" si="0"/>
        <v>44286</v>
      </c>
      <c r="G5" s="287">
        <f t="shared" si="0"/>
        <v>43921</v>
      </c>
      <c r="H5" s="287">
        <f t="shared" si="0"/>
        <v>43555</v>
      </c>
      <c r="I5" s="287">
        <f t="shared" si="0"/>
        <v>43190</v>
      </c>
      <c r="J5" s="287">
        <f t="shared" si="0"/>
        <v>42825</v>
      </c>
      <c r="K5" s="287">
        <f t="shared" si="0"/>
        <v>42460</v>
      </c>
      <c r="L5" s="287">
        <f t="shared" si="0"/>
        <v>42094</v>
      </c>
      <c r="M5" s="287">
        <f t="shared" si="0"/>
        <v>41729</v>
      </c>
    </row>
    <row r="6" spans="1:14" ht="15.75" customHeight="1" x14ac:dyDescent="0.35">
      <c r="A6" s="135"/>
      <c r="B6" s="263" t="s">
        <v>12</v>
      </c>
      <c r="C6" s="142">
        <f>IF(Inputs!C25=""," ",Inputs!C25)</f>
        <v>6217123</v>
      </c>
      <c r="D6" s="142">
        <f>IF(Inputs!D25="","",Inputs!D25)</f>
        <v>6340559</v>
      </c>
      <c r="E6" s="142">
        <f>IF(Inputs!E25="","",Inputs!E25)</f>
        <v>6501215</v>
      </c>
      <c r="F6" s="142">
        <f>IF(Inputs!F25="","",Inputs!F25)</f>
        <v>7519817</v>
      </c>
      <c r="G6" s="142">
        <f>IF(Inputs!G25="","",Inputs!G25)</f>
        <v>7232641</v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-1.946768415844724E-2</v>
      </c>
      <c r="D7" s="143">
        <f t="shared" si="1"/>
        <v>-2.4711688507455865E-2</v>
      </c>
      <c r="E7" s="143">
        <f t="shared" si="1"/>
        <v>-0.13545568994564627</v>
      </c>
      <c r="F7" s="143">
        <f t="shared" si="1"/>
        <v>3.9705551540578421E-2</v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3102284</v>
      </c>
      <c r="D8" s="144">
        <f>IF(Inputs!D26="","",Inputs!D26)</f>
        <v>3006689</v>
      </c>
      <c r="E8" s="144">
        <f>IF(Inputs!E26="","",Inputs!E26)</f>
        <v>3043646</v>
      </c>
      <c r="F8" s="144">
        <f>IF(Inputs!F26="","",Inputs!F26)</f>
        <v>3945412</v>
      </c>
      <c r="G8" s="144">
        <f>IF(Inputs!G26="","",Inputs!G26)</f>
        <v>3845575</v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3114839</v>
      </c>
      <c r="D9" s="273">
        <f t="shared" si="2"/>
        <v>3333870</v>
      </c>
      <c r="E9" s="273">
        <f t="shared" si="2"/>
        <v>3457569</v>
      </c>
      <c r="F9" s="273">
        <f t="shared" si="2"/>
        <v>3574405</v>
      </c>
      <c r="G9" s="273">
        <f t="shared" si="2"/>
        <v>3387066</v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2918521</v>
      </c>
      <c r="D10" s="144">
        <f>IF(Inputs!D27="","",Inputs!D27)</f>
        <v>2974612</v>
      </c>
      <c r="E10" s="144">
        <f>IF(Inputs!E27="","",Inputs!E27)</f>
        <v>3220542</v>
      </c>
      <c r="F10" s="144">
        <f>IF(Inputs!F27="","",Inputs!F27)</f>
        <v>3305484</v>
      </c>
      <c r="G10" s="144">
        <f>IF(Inputs!G27="","",Inputs!G27)</f>
        <v>3153365</v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1894.6666666666667</v>
      </c>
      <c r="D12" s="144">
        <f>IF(Inputs!D31="","",MAX(Inputs!D31,0)/(1-Fin_Analysis!$I$84))</f>
        <v>0</v>
      </c>
      <c r="E12" s="144">
        <f>IF(Inputs!E31="","",MAX(Inputs!E31,0)/(1-Fin_Analysis!$I$84))</f>
        <v>0</v>
      </c>
      <c r="F12" s="144">
        <f>IF(Inputs!F31="","",MAX(Inputs!F31,0)/(1-Fin_Analysis!$I$84))</f>
        <v>54882.666666666664</v>
      </c>
      <c r="G12" s="144">
        <f>IF(Inputs!G31="","",MAX(Inputs!G31,0)/(1-Fin_Analysis!$I$84))</f>
        <v>44950.666666666664</v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3.1272235298116721E-2</v>
      </c>
      <c r="D13" s="292">
        <f t="shared" si="3"/>
        <v>5.6660303925884135E-2</v>
      </c>
      <c r="E13" s="292">
        <f t="shared" si="3"/>
        <v>3.6458877302165828E-2</v>
      </c>
      <c r="F13" s="292">
        <f t="shared" si="3"/>
        <v>2.84632369821411E-2</v>
      </c>
      <c r="G13" s="292">
        <f t="shared" si="3"/>
        <v>2.6097013986085212E-2</v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194423.33333333334</v>
      </c>
      <c r="D14" s="294">
        <f t="shared" ref="D14:M14" si="4">IF(D6="","",D9-D10-MAX(D11,0)-MAX(D12,0))</f>
        <v>359258</v>
      </c>
      <c r="E14" s="294">
        <f t="shared" si="4"/>
        <v>237027</v>
      </c>
      <c r="F14" s="294">
        <f t="shared" si="4"/>
        <v>214038.33333333334</v>
      </c>
      <c r="G14" s="294">
        <f t="shared" si="4"/>
        <v>188750.33333333334</v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-0.45881975256408114</v>
      </c>
      <c r="D15" s="296">
        <f t="shared" ref="D15:M15" si="5">IF(E14="","",IF(ABS(D14+E14)=ABS(D14)+ABS(E14),IF(D14&lt;0,-1,1)*(D14-E14)/E14,"Turn"))</f>
        <v>0.51568386723875337</v>
      </c>
      <c r="E15" s="296">
        <f t="shared" si="5"/>
        <v>0.1074044368999322</v>
      </c>
      <c r="F15" s="296">
        <f t="shared" si="5"/>
        <v>0.133975922338327</v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280</v>
      </c>
      <c r="C16" s="147" t="str">
        <f>IF(C17="","",C17-C14)</f>
        <v/>
      </c>
      <c r="D16" s="147">
        <f t="shared" ref="D16:M16" si="6">IF(D17="","",D17-D14)</f>
        <v>-383922</v>
      </c>
      <c r="E16" s="147">
        <f t="shared" si="6"/>
        <v>-239658</v>
      </c>
      <c r="F16" s="147">
        <f t="shared" si="6"/>
        <v>-172876.33333333334</v>
      </c>
      <c r="G16" s="147">
        <f t="shared" si="6"/>
        <v>-155037.33333333334</v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277</v>
      </c>
      <c r="C17" s="307" t="str">
        <f>IF(Inputs!C30="","",Inputs!C30)</f>
        <v/>
      </c>
      <c r="D17" s="307">
        <f>IF(Inputs!D30="","",Inputs!D30)</f>
        <v>-24664</v>
      </c>
      <c r="E17" s="307">
        <f>IF(Inputs!E30="","",Inputs!E30)</f>
        <v>-2631</v>
      </c>
      <c r="F17" s="307">
        <f>IF(Inputs!F30="","",Inputs!F30)</f>
        <v>41162</v>
      </c>
      <c r="G17" s="307">
        <f>IF(Inputs!G30="","",Inputs!G30)</f>
        <v>33713</v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>
        <f>IF(Inputs!C32="","",Inputs!C32)</f>
        <v>75275</v>
      </c>
      <c r="D18" s="144">
        <f>IF(Inputs!D32="","",Inputs!D32)</f>
        <v>-173926</v>
      </c>
      <c r="E18" s="144">
        <f>IF(Inputs!E32="","",Inputs!E32)</f>
        <v>-350301</v>
      </c>
      <c r="F18" s="144">
        <f>IF(Inputs!F32="","",Inputs!F32)</f>
        <v>158170</v>
      </c>
      <c r="G18" s="144">
        <f>IF(Inputs!G32="","",Inputs!G32)</f>
        <v>230171</v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30028</v>
      </c>
      <c r="D19" s="144">
        <f>IF(Inputs!D29="","",Inputs!D29)</f>
        <v>32547</v>
      </c>
      <c r="E19" s="144">
        <f>IF(Inputs!E29="","",Inputs!E29)</f>
        <v>23071</v>
      </c>
      <c r="F19" s="144">
        <f>IF(Inputs!F29="","",Inputs!F29)</f>
        <v>11770</v>
      </c>
      <c r="G19" s="144">
        <f>IF(Inputs!G29="","",Inputs!G29)</f>
        <v>10932</v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>
        <f t="shared" ref="C20:M20" si="7">IF(OR(C6="",C21=""),"",C21/C6)</f>
        <v>8.4118329330141933E-2</v>
      </c>
      <c r="D20" s="227">
        <f t="shared" si="7"/>
        <v>8.3527808825688707E-2</v>
      </c>
      <c r="E20" s="227">
        <f t="shared" si="7"/>
        <v>8.6078832956608883E-2</v>
      </c>
      <c r="F20" s="227">
        <f t="shared" si="7"/>
        <v>6.4874982994931926E-2</v>
      </c>
      <c r="G20" s="227">
        <f t="shared" si="7"/>
        <v>5.5662516638113245E-2</v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>
        <f>IF(Inputs!C33="","",Inputs!C33)</f>
        <v>522974</v>
      </c>
      <c r="D21" s="144">
        <f>IF(Inputs!D33="","",Inputs!D33)</f>
        <v>529613</v>
      </c>
      <c r="E21" s="144">
        <f>IF(Inputs!E33="","",Inputs!E33)</f>
        <v>559617</v>
      </c>
      <c r="F21" s="144">
        <f>IF(Inputs!F33="","",Inputs!F33)</f>
        <v>487848</v>
      </c>
      <c r="G21" s="144">
        <f>IF(Inputs!G33="","",Inputs!G33)</f>
        <v>402587</v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2.3531463025582733E-2</v>
      </c>
      <c r="D22" s="227">
        <f t="shared" si="8"/>
        <v>2.9567266860855645E-2</v>
      </c>
      <c r="E22" s="227">
        <f t="shared" si="8"/>
        <v>6.298930276879014E-2</v>
      </c>
      <c r="F22" s="227">
        <f t="shared" si="8"/>
        <v>8.6382554256307031E-2</v>
      </c>
      <c r="G22" s="227">
        <f t="shared" si="8"/>
        <v>0.14910044615791107</v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>
        <f>IF(Inputs!C34="","",Inputs!C34)</f>
        <v>146298</v>
      </c>
      <c r="D23" s="144">
        <f>IF(Inputs!D34="","",Inputs!D34)</f>
        <v>187473</v>
      </c>
      <c r="E23" s="144">
        <f>IF(Inputs!E34="","",Inputs!E34)</f>
        <v>409507</v>
      </c>
      <c r="F23" s="144">
        <f>IF(Inputs!F34="","",Inputs!F34)</f>
        <v>649581</v>
      </c>
      <c r="G23" s="144">
        <f>IF(Inputs!G34="","",Inputs!G34)</f>
        <v>1078390</v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281</v>
      </c>
      <c r="C24" s="309">
        <f t="shared" ref="C24:M24" si="9">IF(C6="","",C14-MAX(C18,0)-MAX(C19,0)-ABS(MAX(C23,0)-MAX(C21,0)))</f>
        <v>-287555.66666666663</v>
      </c>
      <c r="D24" s="309">
        <f t="shared" si="9"/>
        <v>-15429</v>
      </c>
      <c r="E24" s="309">
        <f t="shared" si="9"/>
        <v>63846</v>
      </c>
      <c r="F24" s="309">
        <f t="shared" si="9"/>
        <v>-117634.66666666666</v>
      </c>
      <c r="G24" s="309">
        <f t="shared" si="9"/>
        <v>-728155.66666666663</v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-3.4689156061412964E-2</v>
      </c>
      <c r="D25" s="143">
        <f t="shared" si="10"/>
        <v>-1.8250362468041066E-3</v>
      </c>
      <c r="E25" s="143">
        <f t="shared" si="10"/>
        <v>7.3654693776471014E-3</v>
      </c>
      <c r="F25" s="143">
        <f t="shared" si="10"/>
        <v>-1.1732466361880882E-2</v>
      </c>
      <c r="G25" s="143">
        <f t="shared" si="10"/>
        <v>-7.5507238642150212E-2</v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282</v>
      </c>
      <c r="C26" s="275">
        <f>IF(C6="","",C24*(1-Fin_Analysis!$I$84))</f>
        <v>-215666.74999999997</v>
      </c>
      <c r="D26" s="276">
        <f>IF(D6="","",D24*(1-Fin_Analysis!$I$84))</f>
        <v>-11571.75</v>
      </c>
      <c r="E26" s="276">
        <f>IF(E6="","",E24*(1-Fin_Analysis!$I$84))</f>
        <v>47884.5</v>
      </c>
      <c r="F26" s="276">
        <f>IF(F6="","",F24*(1-Fin_Analysis!$I$84))</f>
        <v>-88226</v>
      </c>
      <c r="G26" s="276">
        <f>IF(G6="","",G24*(1-Fin_Analysis!$I$84))</f>
        <v>-546116.75</v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-17.637349579795622</v>
      </c>
      <c r="D27" s="305" t="str">
        <f t="shared" si="11"/>
        <v>Turn</v>
      </c>
      <c r="E27" s="305" t="str">
        <f t="shared" si="11"/>
        <v>Turn</v>
      </c>
      <c r="F27" s="305">
        <f t="shared" si="11"/>
        <v>0.83844846362980074</v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45382</v>
      </c>
      <c r="D28" s="287">
        <f>D5</f>
        <v>45016</v>
      </c>
      <c r="E28" s="287">
        <f t="shared" ref="E28" si="12">EOMONTH(EDATE(D28,-12),0)</f>
        <v>44651</v>
      </c>
      <c r="F28" s="287">
        <f t="shared" ref="F28" si="13">EOMONTH(EDATE(E28,-12),0)</f>
        <v>44286</v>
      </c>
      <c r="G28" s="287">
        <f t="shared" ref="G28" si="14">EOMONTH(EDATE(F28,-12),0)</f>
        <v>43921</v>
      </c>
      <c r="H28" s="287">
        <f t="shared" ref="H28" si="15">EOMONTH(EDATE(G28,-12),0)</f>
        <v>43555</v>
      </c>
      <c r="I28" s="287">
        <f t="shared" ref="I28" si="16">EOMONTH(EDATE(H28,-12),0)</f>
        <v>43190</v>
      </c>
      <c r="J28" s="287">
        <f t="shared" ref="J28" si="17">EOMONTH(EDATE(I28,-12),0)</f>
        <v>42825</v>
      </c>
      <c r="K28" s="287">
        <f t="shared" ref="K28" si="18">EOMONTH(EDATE(J28,-12),0)</f>
        <v>42460</v>
      </c>
      <c r="L28" s="287">
        <f t="shared" ref="L28" si="19">EOMONTH(EDATE(K28,-12),0)</f>
        <v>42094</v>
      </c>
      <c r="M28" s="287">
        <f t="shared" ref="M28" si="20">EOMONTH(EDATE(L28,-12),0)</f>
        <v>41729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5636695</v>
      </c>
      <c r="D29" s="147">
        <f>IF(D36="","",D36+D32)</f>
        <v>5849519</v>
      </c>
      <c r="E29" s="147">
        <f t="shared" ref="E29:M29" si="21">IF(E36="","",E36+E32)</f>
        <v>6807120</v>
      </c>
      <c r="F29" s="147">
        <f t="shared" si="21"/>
        <v>7276410</v>
      </c>
      <c r="G29" s="147">
        <f t="shared" si="21"/>
        <v>6410495</v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2524058</v>
      </c>
      <c r="D32" s="144">
        <f>IF(Inputs!D37="","",Inputs!D37)</f>
        <v>2748929</v>
      </c>
      <c r="E32" s="144">
        <f>IF(Inputs!E37="","",Inputs!E37)</f>
        <v>3238021</v>
      </c>
      <c r="F32" s="144">
        <f>IF(Inputs!F37="","",Inputs!F37)</f>
        <v>3319536</v>
      </c>
      <c r="G32" s="144">
        <f>IF(Inputs!G37="","",Inputs!G37)</f>
        <v>2992391</v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3112637</v>
      </c>
      <c r="D36" s="144">
        <f>IF(Inputs!D41="","",Inputs!D41)</f>
        <v>3100590</v>
      </c>
      <c r="E36" s="144">
        <f>IF(Inputs!E41="","",Inputs!E41)</f>
        <v>3569099</v>
      </c>
      <c r="F36" s="144">
        <f>IF(Inputs!F41="","",Inputs!F41)</f>
        <v>3956874</v>
      </c>
      <c r="G36" s="144">
        <f>IF(Inputs!G41="","",Inputs!G41)</f>
        <v>3418104</v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108077</v>
      </c>
      <c r="D37" s="144">
        <f>IF(Inputs!D42="","",Inputs!D42)</f>
        <v>115875</v>
      </c>
      <c r="E37" s="144">
        <f>IF(Inputs!E42="","",Inputs!E42)</f>
        <v>311186</v>
      </c>
      <c r="F37" s="144">
        <f>IF(Inputs!F42="","",Inputs!F42)</f>
        <v>340821</v>
      </c>
      <c r="G37" s="144">
        <f>IF(Inputs!G42="","",Inputs!G42)</f>
        <v>289714</v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5636695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>
        <f>IF(C6="","",C14/MAX(C39,0))</f>
        <v>3.4492434544237949E-2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0.49899028859490152</v>
      </c>
      <c r="D42" s="150">
        <f t="shared" si="35"/>
        <v>0.47419935687058506</v>
      </c>
      <c r="E42" s="150">
        <f t="shared" si="35"/>
        <v>0.46816571979237726</v>
      </c>
      <c r="F42" s="150">
        <f t="shared" si="35"/>
        <v>0.52466861893048722</v>
      </c>
      <c r="G42" s="150">
        <f t="shared" si="35"/>
        <v>0.53169720438218904</v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0.46943272635912142</v>
      </c>
      <c r="D43" s="146">
        <f t="shared" si="36"/>
        <v>0.46914033920353077</v>
      </c>
      <c r="E43" s="146">
        <f t="shared" si="36"/>
        <v>0.4953754029054569</v>
      </c>
      <c r="F43" s="146">
        <f t="shared" si="36"/>
        <v>0.43956973952956568</v>
      </c>
      <c r="G43" s="146">
        <f t="shared" si="36"/>
        <v>0.43599080888986469</v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1.210769032557342E-2</v>
      </c>
      <c r="D44" s="146">
        <f t="shared" si="37"/>
        <v>0</v>
      </c>
      <c r="E44" s="146">
        <f t="shared" si="37"/>
        <v>0</v>
      </c>
      <c r="F44" s="146">
        <f t="shared" si="37"/>
        <v>2.1033756539554086E-2</v>
      </c>
      <c r="G44" s="146">
        <f t="shared" si="37"/>
        <v>3.1823921579959523E-2</v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4.8298867498680663E-3</v>
      </c>
      <c r="D45" s="146">
        <f t="shared" si="38"/>
        <v>5.1331436234565439E-3</v>
      </c>
      <c r="E45" s="146">
        <f t="shared" si="38"/>
        <v>3.5487212774842855E-3</v>
      </c>
      <c r="F45" s="146">
        <f t="shared" si="38"/>
        <v>1.5651976637197421E-3</v>
      </c>
      <c r="G45" s="146">
        <f t="shared" si="38"/>
        <v>1.5114810758615007E-3</v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3.0474974786033133E-4</v>
      </c>
      <c r="D46" s="146">
        <f t="shared" si="39"/>
        <v>0</v>
      </c>
      <c r="E46" s="146">
        <f t="shared" si="39"/>
        <v>0</v>
      </c>
      <c r="F46" s="146">
        <f t="shared" si="39"/>
        <v>7.2984045578059495E-3</v>
      </c>
      <c r="G46" s="146">
        <f t="shared" si="39"/>
        <v>6.2149727418610527E-3</v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6.05868663045592E-2</v>
      </c>
      <c r="D47" s="146">
        <f t="shared" si="40"/>
        <v>5.3960541964833068E-2</v>
      </c>
      <c r="E47" s="146">
        <f t="shared" si="40"/>
        <v>2.308953018781874E-2</v>
      </c>
      <c r="F47" s="146">
        <f t="shared" si="40"/>
        <v>2.1507571261375112E-2</v>
      </c>
      <c r="G47" s="146">
        <f t="shared" si="40"/>
        <v>9.3437929519797819E-2</v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-4.6252208081883954E-2</v>
      </c>
      <c r="D48" s="281">
        <f t="shared" si="41"/>
        <v>-2.4333816624054756E-3</v>
      </c>
      <c r="E48" s="281">
        <f t="shared" si="41"/>
        <v>9.8206258368628025E-3</v>
      </c>
      <c r="F48" s="281">
        <f t="shared" si="41"/>
        <v>-1.5643288482507841E-2</v>
      </c>
      <c r="G48" s="281">
        <f t="shared" si="41"/>
        <v>-0.10067631818953363</v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>
        <f t="shared" ref="C50:M50" si="42">IF(C6="","",C6/C29)</f>
        <v>1.1029731074681175</v>
      </c>
      <c r="D50" s="153">
        <f t="shared" si="42"/>
        <v>1.0839453637128114</v>
      </c>
      <c r="E50" s="153">
        <f t="shared" si="42"/>
        <v>0.95506102433922124</v>
      </c>
      <c r="F50" s="153">
        <f t="shared" si="42"/>
        <v>1.0334515234847954</v>
      </c>
      <c r="G50" s="153">
        <f t="shared" si="42"/>
        <v>1.1282500025349056</v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>
        <f t="shared" ref="C53:M53" si="45">IF(D6="","",C18/(C6-D6))</f>
        <v>-0.60983019540490624</v>
      </c>
      <c r="D53" s="146">
        <f t="shared" si="45"/>
        <v>1.08259884473658</v>
      </c>
      <c r="E53" s="146">
        <f t="shared" si="45"/>
        <v>0.34390370331100861</v>
      </c>
      <c r="F53" s="146">
        <f t="shared" si="45"/>
        <v>0.55077722372343096</v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>
        <f t="shared" ref="C55:M55" si="46">IF(C36="","",(C36-C37)/C29)</f>
        <v>0.53303575942994963</v>
      </c>
      <c r="D55" s="150">
        <f t="shared" si="46"/>
        <v>0.51024964616748825</v>
      </c>
      <c r="E55" s="150">
        <f t="shared" si="46"/>
        <v>0.47860372668617568</v>
      </c>
      <c r="F55" s="150">
        <f t="shared" si="46"/>
        <v>0.4969556415869914</v>
      </c>
      <c r="G55" s="150">
        <f t="shared" si="46"/>
        <v>0.48801067624263023</v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-0.10442499829018614</v>
      </c>
      <c r="D57" s="146">
        <f t="shared" si="48"/>
        <v>-2.1094691814116273</v>
      </c>
      <c r="E57" s="146">
        <f t="shared" si="48"/>
        <v>0.36135388278044045</v>
      </c>
      <c r="F57" s="146">
        <f t="shared" si="48"/>
        <v>-0.10005553918346066</v>
      </c>
      <c r="G57" s="146">
        <f t="shared" si="48"/>
        <v>-1.5013273260708448E-2</v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0</v>
      </c>
      <c r="D58" s="146">
        <f>IF(D36="","",IF(Inputs!D38=0,0,Inputs!D38/D29))</f>
        <v>0</v>
      </c>
      <c r="E58" s="146">
        <f>IF(E36="","",IF(Inputs!E38=0,0,Inputs!E38/E29))</f>
        <v>0</v>
      </c>
      <c r="F58" s="146">
        <f>IF(F36="","",IF(Inputs!F38=0,0,Inputs!F38/F29))</f>
        <v>0</v>
      </c>
      <c r="G58" s="146">
        <f>IF(G36="","",IF(Inputs!G38=0,0,Inputs!G38/G29))</f>
        <v>0</v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>
        <f t="shared" ref="C60:M60" si="50">IF(C14="","",C14/(C36-C37))</f>
        <v>6.4709419460198286E-2</v>
      </c>
      <c r="D60" s="156">
        <f t="shared" si="50"/>
        <v>0.12036593108554754</v>
      </c>
      <c r="E60" s="156">
        <f t="shared" si="50"/>
        <v>7.2754244818692207E-2</v>
      </c>
      <c r="F60" s="156">
        <f t="shared" si="50"/>
        <v>5.9191149392260937E-2</v>
      </c>
      <c r="G60" s="156">
        <f t="shared" si="50"/>
        <v>6.0334655632236819E-2</v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>
        <f t="shared" ref="C61:M61" si="51">IF(C24="","",C24/(C36-C37))</f>
        <v>-9.5706415137879294E-2</v>
      </c>
      <c r="D61" s="156">
        <f t="shared" si="51"/>
        <v>-5.1693377759685598E-3</v>
      </c>
      <c r="E61" s="156">
        <f t="shared" si="51"/>
        <v>1.9597208396909309E-2</v>
      </c>
      <c r="F61" s="156">
        <f t="shared" si="51"/>
        <v>-3.2531234101565068E-2</v>
      </c>
      <c r="G61" s="156">
        <f t="shared" si="51"/>
        <v>-0.23275731819455586</v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3112637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3004560</v>
      </c>
      <c r="K3" s="75"/>
    </row>
    <row r="4" spans="1:11" ht="15" customHeight="1" x14ac:dyDescent="0.35">
      <c r="B4" s="9" t="s">
        <v>22</v>
      </c>
      <c r="C4" s="3"/>
      <c r="D4" s="144">
        <f>Inputs!C42</f>
        <v>108077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-2879072.9800994699</v>
      </c>
      <c r="E6" s="170">
        <f>1-D6/D3</f>
        <v>1.9249626538846225</v>
      </c>
      <c r="F6" s="3"/>
      <c r="G6" s="3"/>
      <c r="H6" s="2" t="s">
        <v>25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26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45382</v>
      </c>
      <c r="E9" s="133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0</v>
      </c>
      <c r="J12" s="3"/>
      <c r="K12" s="75"/>
    </row>
    <row r="13" spans="1:11" ht="11.65" x14ac:dyDescent="0.35">
      <c r="B13" s="9" t="s">
        <v>106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48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49</v>
      </c>
      <c r="I25" s="168" t="e">
        <f>E28/I28</f>
        <v>#DIV/0!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51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53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15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16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0</v>
      </c>
      <c r="D36" s="258">
        <f>Inputs!D66</f>
        <v>0.3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0.2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2524058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74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75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76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77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78</v>
      </c>
      <c r="I48" s="197">
        <f>I49-I28</f>
        <v>2524058</v>
      </c>
      <c r="J48" s="187"/>
    </row>
    <row r="49" spans="2:11" ht="15" customHeight="1" thickTop="1" x14ac:dyDescent="0.35">
      <c r="B49" s="9" t="s">
        <v>14</v>
      </c>
      <c r="C49" s="184">
        <f>Inputs!C41+Inputs!C37</f>
        <v>5636695</v>
      </c>
      <c r="D49" s="170">
        <f>E49/C49</f>
        <v>0</v>
      </c>
      <c r="E49" s="176">
        <f>E28+E48</f>
        <v>0</v>
      </c>
      <c r="F49" s="3"/>
      <c r="G49" s="3"/>
      <c r="H49" s="9" t="s">
        <v>79</v>
      </c>
      <c r="I49" s="175">
        <f>Inputs!C37</f>
        <v>2524058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108077</v>
      </c>
      <c r="D53" s="34">
        <f>IF(E53=0, 0,E53/C53)</f>
        <v>3.2848337768393807</v>
      </c>
      <c r="E53" s="176">
        <f>IF(C53=0,0,MAX(C53,C53*Dashboard!G23))</f>
        <v>355014.98009946977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18">
        <f>Inputs!C84</f>
        <v>0</v>
      </c>
      <c r="E57" s="317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254</v>
      </c>
      <c r="I61" s="203">
        <f>C99*Data!$C$4/Common_Shares</f>
        <v>-2.355080907225291</v>
      </c>
      <c r="K61" s="172"/>
    </row>
    <row r="62" spans="2:11" ht="11.65" x14ac:dyDescent="0.35">
      <c r="B62" s="12" t="s">
        <v>128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276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255</v>
      </c>
      <c r="I63" s="207">
        <f>IF(I61&gt;0,FV(I62,D93,0,-I61),I61)</f>
        <v>-2.355080907225291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0</v>
      </c>
      <c r="F64" s="3"/>
      <c r="G64" s="3"/>
      <c r="H64" s="2" t="s">
        <v>256</v>
      </c>
      <c r="I64" s="207">
        <f>IF(I61&gt;0,PV(C94,D93,0,-I63),I61)</f>
        <v>-2.355080907225291</v>
      </c>
      <c r="K64" s="172"/>
    </row>
    <row r="65" spans="1:11" ht="12" thickTop="1" x14ac:dyDescent="0.35">
      <c r="B65" s="9" t="s">
        <v>131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5636695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2524058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3112637</v>
      </c>
      <c r="D70" s="34">
        <f t="shared" si="2"/>
        <v>-0.8109066363986549</v>
      </c>
      <c r="E70" s="202">
        <f>E68-E69</f>
        <v>-2524058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45382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6217123</v>
      </c>
      <c r="D74" s="98"/>
      <c r="E74" s="256">
        <f>Inputs!E91</f>
        <v>6217123</v>
      </c>
      <c r="F74" s="98"/>
      <c r="H74" s="256">
        <f>Inputs!F91</f>
        <v>6217123</v>
      </c>
      <c r="I74" s="98"/>
      <c r="K74" s="75"/>
    </row>
    <row r="75" spans="1:11" ht="15" customHeight="1" x14ac:dyDescent="0.35">
      <c r="B75" s="100" t="s">
        <v>98</v>
      </c>
      <c r="C75" s="97">
        <f>Data!C8</f>
        <v>3102284</v>
      </c>
      <c r="D75" s="101">
        <f>C75/$C$74</f>
        <v>0.49899028859490152</v>
      </c>
      <c r="E75" s="256">
        <f>Inputs!E92</f>
        <v>3102284</v>
      </c>
      <c r="F75" s="211">
        <f>E75/E74</f>
        <v>0.49899028859490152</v>
      </c>
      <c r="H75" s="256">
        <f>Inputs!F92</f>
        <v>3102284</v>
      </c>
      <c r="I75" s="211">
        <f>H75/$H$74</f>
        <v>0.49899028859490152</v>
      </c>
      <c r="K75" s="75"/>
    </row>
    <row r="76" spans="1:11" ht="15" customHeight="1" x14ac:dyDescent="0.35">
      <c r="B76" s="12" t="s">
        <v>88</v>
      </c>
      <c r="C76" s="145">
        <f>C74-C75</f>
        <v>3114839</v>
      </c>
      <c r="D76" s="212"/>
      <c r="E76" s="213">
        <f>E74-E75</f>
        <v>3114839</v>
      </c>
      <c r="F76" s="212"/>
      <c r="H76" s="213">
        <f>H74-H75</f>
        <v>3114839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2918521</v>
      </c>
      <c r="D77" s="101">
        <f>C77/$C$74</f>
        <v>0.46943272635912142</v>
      </c>
      <c r="E77" s="256">
        <f>Inputs!E93</f>
        <v>2918521</v>
      </c>
      <c r="F77" s="211">
        <f>E77/E74</f>
        <v>0.46943272635912142</v>
      </c>
      <c r="H77" s="256">
        <f>Inputs!F93</f>
        <v>2918521</v>
      </c>
      <c r="I77" s="211">
        <f>H77/$H$74</f>
        <v>0.46943272635912142</v>
      </c>
      <c r="K77" s="75"/>
    </row>
    <row r="78" spans="1:11" ht="15" customHeight="1" x14ac:dyDescent="0.35">
      <c r="B78" s="93" t="s">
        <v>151</v>
      </c>
      <c r="C78" s="97">
        <f>MAX(Data!C12,0)</f>
        <v>1894.6666666666667</v>
      </c>
      <c r="D78" s="101">
        <f>C78/$C$74</f>
        <v>3.0474974786033133E-4</v>
      </c>
      <c r="E78" s="214">
        <f>E74*F78</f>
        <v>1894.6666666666667</v>
      </c>
      <c r="F78" s="211">
        <f>I78</f>
        <v>3.0474974786033133E-4</v>
      </c>
      <c r="H78" s="256">
        <f>Inputs!F97</f>
        <v>1894.6666666666667</v>
      </c>
      <c r="I78" s="211">
        <f>H78/$H$74</f>
        <v>3.0474974786033133E-4</v>
      </c>
      <c r="K78" s="75"/>
    </row>
    <row r="79" spans="1:11" ht="15" customHeight="1" x14ac:dyDescent="0.35">
      <c r="B79" s="215" t="s">
        <v>204</v>
      </c>
      <c r="C79" s="216">
        <f>C76-C77-C78</f>
        <v>194423.33333333334</v>
      </c>
      <c r="D79" s="217">
        <f>C79/C74</f>
        <v>3.1272235298116721E-2</v>
      </c>
      <c r="E79" s="218">
        <f>E76-E77-E78</f>
        <v>194423.33333333334</v>
      </c>
      <c r="F79" s="217">
        <f>E79/E74</f>
        <v>3.1272235298116721E-2</v>
      </c>
      <c r="G79" s="219"/>
      <c r="H79" s="218">
        <f>H76-H77-H78</f>
        <v>194423.33333333334</v>
      </c>
      <c r="I79" s="217">
        <f>H79/H74</f>
        <v>3.1272235298116721E-2</v>
      </c>
      <c r="K79" s="75"/>
    </row>
    <row r="80" spans="1:11" ht="15" customHeight="1" x14ac:dyDescent="0.35">
      <c r="B80" s="18" t="s">
        <v>102</v>
      </c>
      <c r="C80" s="97">
        <f>MAX(Data!C18,0)</f>
        <v>75275</v>
      </c>
      <c r="D80" s="101">
        <f>C80/$C$74</f>
        <v>1.210769032557342E-2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30028</v>
      </c>
      <c r="D81" s="101">
        <f>C81/$C$74</f>
        <v>4.8298867498680663E-3</v>
      </c>
      <c r="E81" s="214">
        <f>E74*F81</f>
        <v>30028.000000000004</v>
      </c>
      <c r="F81" s="211">
        <f>I81</f>
        <v>4.8298867498680663E-3</v>
      </c>
      <c r="H81" s="256">
        <f>Inputs!F94</f>
        <v>30028.000000000004</v>
      </c>
      <c r="I81" s="211">
        <f>H81/$H$74</f>
        <v>4.8298867498680663E-3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376676</v>
      </c>
      <c r="D82" s="101">
        <f>C82/$C$74</f>
        <v>6.05868663045592E-2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-287555.66666666663</v>
      </c>
      <c r="D83" s="223">
        <f>C83/$C$74</f>
        <v>-4.6252208081883954E-2</v>
      </c>
      <c r="E83" s="224">
        <f>E79-E81-E82-E80</f>
        <v>164395.33333333334</v>
      </c>
      <c r="F83" s="223">
        <f>E83/E74</f>
        <v>2.6442348548248659E-2</v>
      </c>
      <c r="H83" s="224">
        <f>H79-H81-H82-H80</f>
        <v>164395.33333333334</v>
      </c>
      <c r="I83" s="223">
        <f>H83/$H$74</f>
        <v>2.6442348548248659E-2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>
        <f>C83*(1-I84)</f>
        <v>-215666.74999999997</v>
      </c>
      <c r="D85" s="217">
        <f>C85/$C$74</f>
        <v>-3.4689156061412964E-2</v>
      </c>
      <c r="E85" s="229">
        <f>E83*(1-F84)</f>
        <v>123296.5</v>
      </c>
      <c r="F85" s="217">
        <f>E85/E74</f>
        <v>1.9831761411186491E-2</v>
      </c>
      <c r="G85" s="219"/>
      <c r="H85" s="229">
        <f>H83*(1-I84)</f>
        <v>123296.5</v>
      </c>
      <c r="I85" s="217">
        <f>H85/$H$74</f>
        <v>1.9831761411186491E-2</v>
      </c>
      <c r="K85" s="75"/>
    </row>
    <row r="86" spans="1:11" ht="15" customHeight="1" x14ac:dyDescent="0.35">
      <c r="B86" s="3" t="s">
        <v>144</v>
      </c>
      <c r="C86" s="230">
        <f>C85*Data!C4/Common_Shares</f>
        <v>-0.20122859508312801</v>
      </c>
      <c r="D86" s="98"/>
      <c r="E86" s="231">
        <f>E85*Data!C4/Common_Shares</f>
        <v>0.11504221894968462</v>
      </c>
      <c r="F86" s="98"/>
      <c r="H86" s="231">
        <f>H85*Data!C4/Common_Shares</f>
        <v>0.11504221894968462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-2.1093144138692666E-2</v>
      </c>
      <c r="D87" s="98"/>
      <c r="E87" s="233">
        <f>E86*Exchange_Rate/Dashboard!G3</f>
        <v>1.2058932803950172E-2</v>
      </c>
      <c r="F87" s="98"/>
      <c r="H87" s="233">
        <f>H86*Exchange_Rate/Dashboard!G3</f>
        <v>1.2058932803950172E-2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1.2962910933140588E-2</v>
      </c>
      <c r="D88" s="235">
        <f>C88/C86</f>
        <v>-6.4418831368303189E-2</v>
      </c>
      <c r="E88" s="255">
        <f>Inputs!E98</f>
        <v>1.2962910933140588E-2</v>
      </c>
      <c r="F88" s="235">
        <f>E88/E86</f>
        <v>0.11267959755548618</v>
      </c>
      <c r="H88" s="255">
        <f>Inputs!F98</f>
        <v>1.2962910933140588E-2</v>
      </c>
      <c r="I88" s="235">
        <f>H88/H86</f>
        <v>0.11267959755548618</v>
      </c>
      <c r="K88" s="75"/>
    </row>
    <row r="89" spans="1:11" ht="15" customHeight="1" x14ac:dyDescent="0.35">
      <c r="B89" s="3" t="s">
        <v>194</v>
      </c>
      <c r="C89" s="232">
        <f>C88*Exchange_Rate/Dashboard!G3</f>
        <v>1.3587956952977557E-3</v>
      </c>
      <c r="D89" s="98"/>
      <c r="E89" s="232">
        <f>E88*Exchange_Rate/Dashboard!G3</f>
        <v>1.3587956952977557E-3</v>
      </c>
      <c r="F89" s="98"/>
      <c r="H89" s="232">
        <f>H88*Exchange_Rate/Dashboard!G3</f>
        <v>1.3587956952977557E-3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CN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183</v>
      </c>
      <c r="F93" s="237">
        <f>FV(E87,D93,0,-(E86/(C93-D94)))*Exchange_Rate</f>
        <v>2.4138509807799768</v>
      </c>
      <c r="H93" s="3" t="s">
        <v>183</v>
      </c>
      <c r="I93" s="237">
        <f>FV(H87,D93,0,-(H86/(C93-D94)))*Exchange_Rate</f>
        <v>2.4138509807799768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0.03</v>
      </c>
      <c r="E94" s="3" t="s">
        <v>184</v>
      </c>
      <c r="F94" s="237">
        <f>FV(E89,D93,0,-(E88/(C93-D94)))*Exchange_Rate</f>
        <v>0.26067020912207778</v>
      </c>
      <c r="H94" s="3" t="s">
        <v>184</v>
      </c>
      <c r="I94" s="237">
        <f>FV(H89,D93,0,-(H88/(C93-D94)))*Exchange_Rate</f>
        <v>0.26067020912207778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1479151.2764877521</v>
      </c>
      <c r="D97" s="244"/>
      <c r="E97" s="245">
        <f>PV(C94,D93,0,-F93)</f>
        <v>1.3801271326388787</v>
      </c>
      <c r="F97" s="244"/>
      <c r="H97" s="245">
        <f>PV(C94,D93,0,-I93)</f>
        <v>1.3801271326388787</v>
      </c>
      <c r="I97" s="245">
        <f>PV(C93,D93,0,-I93)</f>
        <v>1.7742525310752806</v>
      </c>
      <c r="K97" s="75"/>
    </row>
    <row r="98" spans="2:11" ht="15" customHeight="1" x14ac:dyDescent="0.35">
      <c r="B98" s="18" t="s">
        <v>133</v>
      </c>
      <c r="C98" s="243">
        <f>-E53*Exchange_Rate</f>
        <v>-355014.98009946977</v>
      </c>
      <c r="D98" s="244"/>
      <c r="E98" s="244"/>
      <c r="F98" s="244"/>
      <c r="H98" s="245">
        <f>C98*Data!$C$4/Common_Shares</f>
        <v>-0.33124793543223963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-2524058</v>
      </c>
      <c r="D99" s="248"/>
      <c r="E99" s="249">
        <f>IF(H99&gt;0,I64,H99)</f>
        <v>-2.355080907225291</v>
      </c>
      <c r="F99" s="248"/>
      <c r="H99" s="249">
        <f>I64</f>
        <v>-2.355080907225291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0</v>
      </c>
      <c r="E100" s="251">
        <f>MAX(E97+H98+E99,0)</f>
        <v>0</v>
      </c>
      <c r="F100" s="251">
        <f>(E100+H100)/2</f>
        <v>0</v>
      </c>
      <c r="H100" s="251">
        <f>MAX(H97+H98+H99,0)</f>
        <v>0</v>
      </c>
      <c r="I100" s="251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0.1266831823807183</v>
      </c>
      <c r="E103" s="245">
        <f>PV(C94,D93,0,-F94)</f>
        <v>0.14903903809496272</v>
      </c>
      <c r="F103" s="251">
        <f>(E103+H103)/2</f>
        <v>0.14903903809496272</v>
      </c>
      <c r="H103" s="245">
        <f>PV(C94,D93,0,-I94)</f>
        <v>0.14903903809496272</v>
      </c>
      <c r="I103" s="251">
        <f>PV(C93,D93,0,-I94)</f>
        <v>0.19160038543942151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6.3341591190359148E-2</v>
      </c>
      <c r="E106" s="245">
        <f>(E100+E103)/2</f>
        <v>7.4519519047481358E-2</v>
      </c>
      <c r="F106" s="251">
        <f>(F100+F103)/2</f>
        <v>7.4519519047481358E-2</v>
      </c>
      <c r="H106" s="245">
        <f>(H100+H103)/2</f>
        <v>7.4519519047481358E-2</v>
      </c>
      <c r="I106" s="245">
        <f>(I100+I103)/2</f>
        <v>9.5800192719710756E-2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45644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