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D6C6E4-D4E3-4004-8B45-941AA006DC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F37" i="4"/>
  <c r="E37" i="4"/>
  <c r="D37" i="4"/>
  <c r="C37" i="4"/>
  <c r="D34" i="4"/>
  <c r="D33" i="4"/>
  <c r="C33" i="4"/>
  <c r="D32" i="4"/>
  <c r="C32" i="4"/>
  <c r="D27" i="4"/>
  <c r="C27" i="4"/>
  <c r="F96" i="4" l="1"/>
  <c r="E92" i="4"/>
  <c r="F97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<sst xmlns="http://schemas.openxmlformats.org/spreadsheetml/2006/main" count="405" uniqueCount="288">
  <si>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</si>
  <si>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</si>
  <si>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</si>
  <si>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</si>
  <si>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</si>
  <si>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</si>
  <si>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</si>
  <si>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</si>
  <si>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</si>
  <si>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</si>
  <si>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</si>
  <si>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</si>
  <si>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</si>
  <si>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</si>
  <si>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</si>
  <si>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</si>
  <si>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</si>
  <si>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</si>
  <si>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</si>
  <si>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</si>
  <si>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</si>
  <si>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</si>
  <si>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</si>
  <si>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</si>
  <si>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</si>
  <si>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</si>
  <si>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</si>
  <si>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</si>
  <si>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</si>
  <si>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</si>
  <si>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</si>
  <si>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</si>
  <si>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</si>
  <si>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</si>
  <si>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</si>
  <si>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</si>
  <si>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</si>
  <si>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</si>
  <si>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</si>
  <si>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</si>
  <si>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</si>
  <si>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</si>
  <si>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</si>
  <si>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</si>
  <si>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</si>
  <si>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</si>
  <si>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</si>
  <si>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</si>
  <si>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</si>
  <si>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</si>
  <si>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</si>
  <si>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</si>
  <si>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</si>
  <si>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</si>
  <si>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</si>
  <si>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</si>
  <si>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</si>
  <si>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</si>
  <si>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</si>
  <si>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</si>
  <si>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</si>
  <si>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</si>
  <si>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</si>
  <si>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</si>
  <si>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</si>
  <si>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</si>
  <si>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</si>
  <si>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</si>
  <si>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</si>
  <si>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</si>
  <si>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</si>
  <si>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</si>
  <si>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</si>
  <si>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</si>
  <si>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</si>
  <si>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</si>
  <si>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</si>
  <si>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</si>
  <si>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</si>
  <si>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</si>
  <si>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</si>
  <si>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</si>
  <si>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</si>
  <si>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</si>
  <si>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</si>
  <si>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</si>
  <si>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</si>
  <si>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</si>
  <si>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</si>
  <si>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</si>
  <si>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</si>
  <si>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</si>
  <si>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</si>
  <si>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</si>
  <si>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</si>
  <si>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</si>
  <si>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</si>
  <si>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</si>
  <si>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</si>
  <si>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</si>
  <si>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</si>
  <si>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</si>
  <si>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</si>
  <si>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</si>
  <si>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</si>
  <si>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</si>
  <si>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</si>
  <si>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</si>
  <si>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</si>
  <si>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</si>
  <si>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</si>
  <si>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</si>
  <si>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</si>
  <si>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</si>
  <si>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</si>
  <si>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</si>
  <si>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</si>
  <si>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</si>
  <si>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</si>
  <si>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</si>
  <si>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</si>
  <si>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</si>
  <si>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</si>
  <si>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</si>
  <si>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</si>
  <si>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</si>
  <si>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</si>
  <si>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</si>
  <si>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</si>
  <si>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</si>
  <si>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</si>
  <si>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</si>
  <si>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</si>
  <si>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</si>
  <si>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</si>
  <si>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</si>
  <si>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</si>
  <si>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</si>
  <si>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</si>
  <si>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</si>
  <si>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</si>
  <si>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</si>
  <si>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</si>
  <si>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</si>
  <si>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</si>
  <si>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</si>
  <si>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</si>
  <si>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</si>
  <si>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</si>
  <si>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</si>
  <si>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</si>
  <si>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</si>
  <si>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</si>
  <si>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</si>
  <si>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</si>
  <si>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</si>
  <si>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</si>
  <si>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</si>
  <si>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</si>
  <si>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</si>
  <si>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</si>
  <si>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</si>
  <si>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</si>
  <si>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</si>
  <si>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</si>
  <si>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</si>
  <si>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</si>
  <si>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</si>
  <si>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</si>
  <si>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</si>
  <si>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</si>
  <si>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</si>
  <si>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</si>
  <si>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</si>
  <si>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</si>
  <si>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</si>
  <si>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</si>
  <si>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</si>
  <si>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</si>
  <si>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</si>
  <si>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</si>
  <si>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</si>
  <si>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</si>
  <si>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</si>
  <si>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</si>
  <si>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</si>
  <si>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</si>
  <si>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</si>
  <si>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</si>
  <si>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</si>
  <si>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</si>
  <si>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</si>
  <si>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</si>
  <si>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</si>
  <si>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</si>
  <si>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</si>
  <si>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</si>
  <si>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</si>
  <si>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</si>
  <si>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</si>
  <si>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</si>
  <si>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</si>
  <si>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</si>
  <si>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</si>
  <si>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</si>
  <si>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</si>
  <si>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</si>
  <si>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</si>
  <si>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</si>
  <si>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</si>
  <si>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</si>
  <si>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</si>
  <si>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</si>
  <si>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</si>
  <si>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</si>
  <si>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</si>
  <si>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</si>
  <si>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</si>
  <si>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</si>
  <si>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</si>
  <si>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</si>
  <si>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</si>
  <si>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</si>
  <si>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</si>
  <si>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</si>
  <si>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</si>
  <si>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</si>
  <si>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</si>
  <si>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</si>
  <si>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</si>
  <si>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</si>
  <si>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</si>
  <si>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</si>
  <si>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</si>
  <si>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</si>
  <si>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</si>
  <si>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</si>
  <si>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</si>
  <si>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</si>
  <si>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</si>
  <si>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</si>
  <si>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</si>
  <si>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</si>
  <si>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</si>
  <si>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</si>
  <si>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</si>
  <si>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</si>
  <si>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</si>
  <si>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</si>
  <si>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</si>
  <si>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</si>
  <si>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</si>
  <si>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</si>
  <si>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</si>
  <si>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</si>
  <si>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</si>
  <si>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</si>
  <si>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</si>
  <si>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</si>
  <si>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</si>
  <si>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</si>
  <si>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</si>
  <si>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</si>
  <si>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</si>
  <si>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</si>
  <si>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</si>
  <si>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</si>
  <si>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</si>
  <si>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</si>
  <si>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</si>
  <si>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</si>
  <si>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</si>
  <si>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</si>
  <si>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</si>
  <si>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</si>
  <si>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</si>
  <si>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</si>
  <si>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</si>
  <si>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</si>
  <si>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</si>
  <si>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</si>
  <si>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</si>
  <si>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0669.HK</t>
  </si>
  <si>
    <t>創科實業</t>
  </si>
  <si>
    <t xml:space="preserve">Superior Cycl. </t>
  </si>
  <si>
    <t>C0006</t>
  </si>
  <si>
    <t>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</si>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</sst>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587107850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13731411</v>
      </c>
      <c r="D25" s="77">
        <v>13253917</v>
      </c>
      <c r="E25" s="77">
        <v>13203161</v>
      </c>
      <c r="F25" s="77">
        <v>9811941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8311775</v>
      </c>
      <c r="D26" s="78">
        <v>8041340</v>
      </c>
      <c r="E26" s="78">
        <v>8081548</v>
      </c>
      <c r="F26" s="78">
        <v>6058859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2347219+1406210</f>
        <v>3753429</v>
      </c>
      <c r="D27" s="78">
        <f>2191001+1349840</f>
        <v>3540841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548338</v>
      </c>
      <c r="D28" s="78">
        <v>484343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124056</v>
      </c>
      <c r="D29" s="78">
        <v>69868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1862982-2265630</f>
        <v>-402648</v>
      </c>
      <c r="D32" s="78">
        <f>1816473-1375529</f>
        <v>440944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198268+269041+166178</f>
        <v>633487</v>
      </c>
      <c r="D33" s="78">
        <f>132434+240428+139998</f>
        <v>512860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502000</v>
      </c>
      <c r="D34" s="78">
        <f>C34*1.137</f>
        <v>570774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5143611+1725201</f>
        <v>6868812</v>
      </c>
      <c r="D37" s="78">
        <f>7093283+1887802</f>
        <v>8981085</v>
      </c>
      <c r="E37" s="78">
        <f>6328575+1606057</f>
        <v>7934632</v>
      </c>
      <c r="F37" s="78">
        <f>5308967+1406060</f>
        <v>6715027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6252844</v>
      </c>
      <c r="D41" s="302">
        <v>5205481</v>
      </c>
      <c r="E41" s="302">
        <v>4722518</v>
      </c>
      <c r="F41" s="302">
        <v>3902907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-98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0.1261+0.1223</f>
        <v>0.24840000000000001</v>
      </c>
      <c r="D44" s="81">
        <f>0.1158+0.1223</f>
        <v>0.23810000000000001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1.9974011811343107E-2</v>
      </c>
      <c r="D45" s="82">
        <f>IF(D44="","",D44*Exchange_Rate/Dashboard!$G$3)</f>
        <v>1.9145781852982262E-2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287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13731411</v>
      </c>
      <c r="D91" s="98"/>
      <c r="E91" s="99">
        <f>C91</f>
        <v>13731411</v>
      </c>
      <c r="F91" s="99">
        <f>C91</f>
        <v>13731411</v>
      </c>
    </row>
    <row r="92" spans="2:8" x14ac:dyDescent="0.35">
      <c r="B92" s="100" t="s">
        <v>97</v>
      </c>
      <c r="C92" s="97">
        <f>C26</f>
        <v>8311775</v>
      </c>
      <c r="D92" s="101">
        <f>C92/C91</f>
        <v>0.60531106380837341</v>
      </c>
      <c r="E92" s="102">
        <f>E91*D92</f>
        <v>8311775.0000000009</v>
      </c>
      <c r="F92" s="102">
        <f>F91*D92</f>
        <v>8311775.0000000009</v>
      </c>
    </row>
    <row r="93" spans="2:8" x14ac:dyDescent="0.35">
      <c r="B93" s="100" t="s">
        <v>216</v>
      </c>
      <c r="C93" s="97">
        <f>C27+C28</f>
        <v>4301767</v>
      </c>
      <c r="D93" s="101">
        <f>C93/C91</f>
        <v>0.31327931266495485</v>
      </c>
      <c r="E93" s="102">
        <f>E91*D93</f>
        <v>4301767</v>
      </c>
      <c r="F93" s="102">
        <f>F91*D93</f>
        <v>4301767</v>
      </c>
    </row>
    <row r="94" spans="2:8" x14ac:dyDescent="0.35">
      <c r="B94" s="100" t="s">
        <v>222</v>
      </c>
      <c r="C94" s="97">
        <f>C29</f>
        <v>124056</v>
      </c>
      <c r="D94" s="101">
        <f>C94/C91</f>
        <v>9.0344684898005026E-3</v>
      </c>
      <c r="E94" s="103"/>
      <c r="F94" s="102">
        <f>F91*D94</f>
        <v>124056.00000000001</v>
      </c>
    </row>
    <row r="95" spans="2:8" x14ac:dyDescent="0.35">
      <c r="B95" s="18" t="s">
        <v>215</v>
      </c>
      <c r="C95" s="97">
        <f>ABS(MAX(C34,0)-C33)</f>
        <v>131487</v>
      </c>
      <c r="D95" s="101">
        <f>C95/C91</f>
        <v>9.5756364731927404E-3</v>
      </c>
      <c r="E95" s="102">
        <f>E91*D95</f>
        <v>131487</v>
      </c>
      <c r="F95" s="102">
        <f>F91*D95</f>
        <v>131487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0.24840000000000001</v>
      </c>
      <c r="D98" s="105"/>
      <c r="E98" s="106">
        <f>F98</f>
        <v>0.24840000000000001</v>
      </c>
      <c r="F98" s="106">
        <f>C98</f>
        <v>0.24840000000000001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0669.HK : 創科實業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0669.HK</v>
      </c>
      <c r="D3" s="313"/>
      <c r="E3" s="3"/>
      <c r="F3" s="9" t="s">
        <v>1</v>
      </c>
      <c r="G3" s="10">
        <v>96.8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創科實業</v>
      </c>
      <c r="D4" s="315"/>
      <c r="E4" s="3"/>
      <c r="F4" s="9" t="s">
        <v>2</v>
      </c>
      <c r="G4" s="318">
        <f>Inputs!C10</f>
        <v>587107850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45625</v>
      </c>
      <c r="D5" s="317"/>
      <c r="E5" s="16"/>
      <c r="F5" s="12" t="s">
        <v>91</v>
      </c>
      <c r="G5" s="321">
        <f>G3*G4/1000000</f>
        <v>56832.039879999997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0.17877768900039728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8.1409623526671804E-2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1.0464693633181665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2.0985100539850348</v>
      </c>
      <c r="F23" s="39" t="s">
        <v>163</v>
      </c>
      <c r="G23" s="40">
        <f>G3/(Data!C36*Data!C4/Common_Shares*Exchange_Rate)</f>
        <v>1.1676873694759085</v>
      </c>
    </row>
    <row r="24" spans="1:8" ht="15.75" customHeight="1" x14ac:dyDescent="0.35">
      <c r="B24" s="41" t="s">
        <v>239</v>
      </c>
      <c r="C24" s="42">
        <f>Fin_Analysis!I81</f>
        <v>9.0344684898005026E-3</v>
      </c>
      <c r="F24" s="39" t="s">
        <v>224</v>
      </c>
      <c r="G24" s="43">
        <f>G3/(Fin_Analysis!H86*G7)</f>
        <v>11.289414849454808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0.22549490554616261</v>
      </c>
    </row>
    <row r="26" spans="1:8" ht="15.75" customHeight="1" x14ac:dyDescent="0.35">
      <c r="B26" s="45" t="s">
        <v>241</v>
      </c>
      <c r="C26" s="44">
        <f>Fin_Analysis!I80+Fin_Analysis!I82</f>
        <v>9.5756364731927404E-3</v>
      </c>
      <c r="F26" s="46" t="s">
        <v>166</v>
      </c>
      <c r="G26" s="47">
        <f>Fin_Analysis!H88*Exchange_Rate/G3</f>
        <v>1.9974011811343107E-2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23.738658058904399</v>
      </c>
      <c r="D29" s="54">
        <f>G29*(1+G20)</f>
        <v>58.276673152646758</v>
      </c>
      <c r="E29" s="3"/>
      <c r="F29" s="55">
        <f>IF(Fin_Analysis!C108="Profit",Fin_Analysis!F100,IF(Fin_Analysis!C108="Dividend",Fin_Analysis!F103,Fin_Analysis!F106))</f>
        <v>27.927833010475759</v>
      </c>
      <c r="G29" s="320">
        <f>IF(Fin_Analysis!C108="Profit",Fin_Analysis!I100,IF(Fin_Analysis!C108="Dividend",Fin_Analysis!I103,Fin_Analysis!I106))</f>
        <v>50.675367958823273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1117869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13731411</v>
      </c>
      <c r="D6" s="142">
        <f>IF(Inputs!D25="","",Inputs!D25)</f>
        <v>13253917</v>
      </c>
      <c r="E6" s="142">
        <f>IF(Inputs!E25="","",Inputs!E25)</f>
        <v>13203161</v>
      </c>
      <c r="F6" s="142">
        <f>IF(Inputs!F25="","",Inputs!F25)</f>
        <v>9811941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3.6026632730535413E-2</v>
      </c>
      <c r="D7" s="143">
        <f t="shared" si="1"/>
        <v>3.844230938333526E-3</v>
      </c>
      <c r="E7" s="143">
        <f t="shared" si="1"/>
        <v>0.34562172764797516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8311775</v>
      </c>
      <c r="D8" s="144">
        <f>IF(Inputs!D26="","",Inputs!D26)</f>
        <v>8041340</v>
      </c>
      <c r="E8" s="144">
        <f>IF(Inputs!E26="","",Inputs!E26)</f>
        <v>8081548</v>
      </c>
      <c r="F8" s="144">
        <f>IF(Inputs!F26="","",Inputs!F26)</f>
        <v>6058859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5419636</v>
      </c>
      <c r="D9" s="273">
        <f t="shared" si="2"/>
        <v>5212577</v>
      </c>
      <c r="E9" s="273">
        <f t="shared" si="2"/>
        <v>5121613</v>
      </c>
      <c r="F9" s="273">
        <f t="shared" si="2"/>
        <v>3753082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3753429</v>
      </c>
      <c r="D10" s="144">
        <f>IF(Inputs!D27="","",Inputs!D27)</f>
        <v>3540841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548338</v>
      </c>
      <c r="D11" s="144">
        <f>IF(Inputs!D28="","",Inputs!D28)</f>
        <v>484343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8.1409623526671804E-2</v>
      </c>
      <c r="D13" s="292">
        <f t="shared" si="3"/>
        <v>8.9588081772354541E-2</v>
      </c>
      <c r="E13" s="292" t="e">
        <f t="shared" si="3"/>
        <v>#VALUE!</v>
      </c>
      <c r="F13" s="292" t="e">
        <f t="shared" si="3"/>
        <v>#VALUE!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1117869</v>
      </c>
      <c r="D14" s="294">
        <f t="shared" ref="D14:M14" si="4">IF(D6="","",D9-D10-MAX(D11,0)-MAX(D12,0))</f>
        <v>1187393</v>
      </c>
      <c r="E14" s="294" t="e">
        <f t="shared" si="4"/>
        <v>#VALUE!</v>
      </c>
      <c r="F14" s="294" t="e">
        <f t="shared" si="4"/>
        <v>#VALUE!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-5.8551802141329788E-2</v>
      </c>
      <c r="D15" s="296" t="e">
        <f t="shared" ref="D15:M15" si="5">IF(E14="","",IF(ABS(D14+E14)=ABS(D14)+ABS(E14),IF(D14&lt;0,-1,1)*(D14-E14)/E14,"Turn"))</f>
        <v>#VALUE!</v>
      </c>
      <c r="E15" s="296" t="e">
        <f t="shared" si="5"/>
        <v>#VALUE!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-1187393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-402648</v>
      </c>
      <c r="D18" s="144">
        <f>IF(Inputs!D32="","",Inputs!D32)</f>
        <v>440944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124056</v>
      </c>
      <c r="D19" s="144">
        <f>IF(Inputs!D29="","",Inputs!D29)</f>
        <v>69868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4.6134151836253391E-2</v>
      </c>
      <c r="D20" s="227">
        <f t="shared" si="7"/>
        <v>3.8694975983326288E-2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633487</v>
      </c>
      <c r="D21" s="144">
        <f>IF(Inputs!D33="","",Inputs!D33)</f>
        <v>512860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3.6558515363060651E-2</v>
      </c>
      <c r="D22" s="227">
        <f t="shared" si="8"/>
        <v>4.3064552162202313E-2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502000</v>
      </c>
      <c r="D23" s="144">
        <f>IF(Inputs!D34="","",Inputs!D34)</f>
        <v>570774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862326</v>
      </c>
      <c r="D24" s="309">
        <f t="shared" si="9"/>
        <v>618667</v>
      </c>
      <c r="E24" s="309" t="e">
        <f t="shared" si="9"/>
        <v>#VALUE!</v>
      </c>
      <c r="F24" s="309" t="e">
        <f t="shared" si="9"/>
        <v>#VALUE!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4.7099638922758924E-2</v>
      </c>
      <c r="D25" s="143">
        <f t="shared" si="10"/>
        <v>3.5008537476128754E-2</v>
      </c>
      <c r="E25" s="143" t="e">
        <f t="shared" si="10"/>
        <v>#VALUE!</v>
      </c>
      <c r="F25" s="143" t="e">
        <f t="shared" si="10"/>
        <v>#VALUE!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646744.5</v>
      </c>
      <c r="D26" s="276">
        <f>IF(D6="","",D24*(1-Fin_Analysis!$I$84))</f>
        <v>464000.25</v>
      </c>
      <c r="E26" s="276" t="e">
        <f>IF(E6="","",E24*(1-Fin_Analysis!$I$84))</f>
        <v>#VALUE!</v>
      </c>
      <c r="F26" s="276" t="e">
        <f>IF(F6="","",F24*(1-Fin_Analysis!$I$84))</f>
        <v>#VALUE!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0.39384515417825744</v>
      </c>
      <c r="D27" s="305" t="e">
        <f t="shared" si="11"/>
        <v>#VALUE!</v>
      </c>
      <c r="E27" s="305" t="e">
        <f t="shared" si="11"/>
        <v>#VALUE!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13121656</v>
      </c>
      <c r="D29" s="147">
        <f>IF(D36="","",D36+D32)</f>
        <v>14186566</v>
      </c>
      <c r="E29" s="147">
        <f t="shared" ref="E29:M29" si="21">IF(E36="","",E36+E32)</f>
        <v>12657150</v>
      </c>
      <c r="F29" s="147">
        <f t="shared" si="21"/>
        <v>10617934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6868812</v>
      </c>
      <c r="D32" s="144">
        <f>IF(Inputs!D37="","",Inputs!D37)</f>
        <v>8981085</v>
      </c>
      <c r="E32" s="144">
        <f>IF(Inputs!E37="","",Inputs!E37)</f>
        <v>7934632</v>
      </c>
      <c r="F32" s="144">
        <f>IF(Inputs!F37="","",Inputs!F37)</f>
        <v>6715027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6252844</v>
      </c>
      <c r="D36" s="144">
        <f>IF(Inputs!D41="","",Inputs!D41)</f>
        <v>5205481</v>
      </c>
      <c r="E36" s="144">
        <f>IF(Inputs!E41="","",Inputs!E41)</f>
        <v>4722518</v>
      </c>
      <c r="F36" s="144">
        <f>IF(Inputs!F41="","",Inputs!F41)</f>
        <v>3902907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-98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13121656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8.5192676899927877E-2</v>
      </c>
      <c r="D40" s="148" t="e">
        <f>IF(D6="","",D14/MAX(D39,0))</f>
        <v>#DIV/0!</v>
      </c>
      <c r="E40" s="148" t="e">
        <f>IF(E6="","",E14/MAX(E39,0))</f>
        <v>#VALUE!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0.60531106380837341</v>
      </c>
      <c r="D42" s="150">
        <f t="shared" si="35"/>
        <v>0.60671422644339779</v>
      </c>
      <c r="E42" s="150">
        <f t="shared" si="35"/>
        <v>0.61209190738490582</v>
      </c>
      <c r="F42" s="150">
        <f t="shared" si="35"/>
        <v>0.61749851532943378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0.31327931266495485</v>
      </c>
      <c r="D43" s="146">
        <f t="shared" si="36"/>
        <v>0.3036976917842476</v>
      </c>
      <c r="E43" s="146" t="e">
        <f t="shared" si="36"/>
        <v>#VALUE!</v>
      </c>
      <c r="F43" s="146" t="e">
        <f t="shared" si="36"/>
        <v>#VALUE!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3.326895739576459E-2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9.0344684898005026E-3</v>
      </c>
      <c r="D45" s="146">
        <f t="shared" si="38"/>
        <v>5.2714982295422553E-3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9.5756364731927404E-3</v>
      </c>
      <c r="D47" s="146">
        <f t="shared" si="40"/>
        <v>4.369576178876026E-3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6.2799518563678561E-2</v>
      </c>
      <c r="D48" s="281">
        <f t="shared" si="41"/>
        <v>4.6678049968171674E-2</v>
      </c>
      <c r="E48" s="281" t="e">
        <f t="shared" si="41"/>
        <v>#VALUE!</v>
      </c>
      <c r="F48" s="281" t="e">
        <f t="shared" si="41"/>
        <v>#VALUE!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1.0464693633181665</v>
      </c>
      <c r="D50" s="153">
        <f t="shared" si="42"/>
        <v>0.93425829760352153</v>
      </c>
      <c r="E50" s="153">
        <f t="shared" si="42"/>
        <v>1.0431385422468724</v>
      </c>
      <c r="F50" s="153">
        <f t="shared" si="42"/>
        <v>0.92409135336497661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-0.8432524806594428</v>
      </c>
      <c r="D53" s="146">
        <f t="shared" si="45"/>
        <v>8.6875246276302303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0.47652857230825135</v>
      </c>
      <c r="D55" s="150">
        <f t="shared" si="46"/>
        <v>0.3669303057554591</v>
      </c>
      <c r="E55" s="150">
        <f t="shared" si="46"/>
        <v>0.37311069237545574</v>
      </c>
      <c r="F55" s="150">
        <f t="shared" si="46"/>
        <v>0.36758610479213755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e">
        <f t="shared" si="47"/>
        <v>#VALUE!</v>
      </c>
      <c r="F56" s="154" t="e">
        <f t="shared" si="47"/>
        <v>#VALUE!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0.1438620660863757</v>
      </c>
      <c r="D57" s="146">
        <f t="shared" si="48"/>
        <v>0.11293312880758147</v>
      </c>
      <c r="E57" s="146" t="e">
        <f t="shared" si="48"/>
        <v>#VALUE!</v>
      </c>
      <c r="F57" s="146" t="e">
        <f t="shared" si="48"/>
        <v>#VALUE!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0.17877768900039726</v>
      </c>
      <c r="D60" s="156">
        <f t="shared" si="50"/>
        <v>0.22810437690580371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0.13790940570402843</v>
      </c>
      <c r="D61" s="156">
        <f t="shared" si="51"/>
        <v>0.11884915150012074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6252844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6252844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-6868812</v>
      </c>
      <c r="E6" s="170">
        <f>1-D6/D3</f>
        <v>2.0985100539850343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6868812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6868812</v>
      </c>
      <c r="J48" s="187"/>
    </row>
    <row r="49" spans="2:11" ht="15" customHeight="1" thickTop="1" x14ac:dyDescent="0.35">
      <c r="B49" s="9" t="s">
        <v>13</v>
      </c>
      <c r="C49" s="184">
        <f>Inputs!C41+Inputs!C37</f>
        <v>13121656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6868812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-91.065276550415973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-91.065276550415973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-91.065276550415973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13121656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6868812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6252844</v>
      </c>
      <c r="D70" s="34">
        <f t="shared" si="2"/>
        <v>-1.0985100539850345</v>
      </c>
      <c r="E70" s="202">
        <f>E68-E69</f>
        <v>-6868812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13731411</v>
      </c>
      <c r="D74" s="98"/>
      <c r="E74" s="256">
        <f>Inputs!E91</f>
        <v>13731411</v>
      </c>
      <c r="F74" s="98"/>
      <c r="H74" s="256">
        <f>Inputs!F91</f>
        <v>13731411</v>
      </c>
      <c r="I74" s="98"/>
      <c r="K74" s="75"/>
    </row>
    <row r="75" spans="1:11" ht="15" customHeight="1" x14ac:dyDescent="0.35">
      <c r="B75" s="100" t="s">
        <v>97</v>
      </c>
      <c r="C75" s="97">
        <f>Data!C8</f>
        <v>8311775</v>
      </c>
      <c r="D75" s="101">
        <f>C75/$C$74</f>
        <v>0.60531106380837341</v>
      </c>
      <c r="E75" s="256">
        <f>Inputs!E92</f>
        <v>8311775.0000000009</v>
      </c>
      <c r="F75" s="211">
        <f>E75/E74</f>
        <v>0.60531106380837341</v>
      </c>
      <c r="H75" s="256">
        <f>Inputs!F92</f>
        <v>8311775.0000000009</v>
      </c>
      <c r="I75" s="211">
        <f>H75/$H$74</f>
        <v>0.60531106380837341</v>
      </c>
      <c r="K75" s="75"/>
    </row>
    <row r="76" spans="1:11" ht="15" customHeight="1" x14ac:dyDescent="0.35">
      <c r="B76" s="12" t="s">
        <v>87</v>
      </c>
      <c r="C76" s="145">
        <f>C74-C75</f>
        <v>5419636</v>
      </c>
      <c r="D76" s="212"/>
      <c r="E76" s="213">
        <f>E74-E75</f>
        <v>5419635.9999999991</v>
      </c>
      <c r="F76" s="212"/>
      <c r="H76" s="213">
        <f>H74-H75</f>
        <v>5419635.9999999991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4301767</v>
      </c>
      <c r="D77" s="101">
        <f>C77/$C$74</f>
        <v>0.31327931266495485</v>
      </c>
      <c r="E77" s="256">
        <f>Inputs!E93</f>
        <v>4301767</v>
      </c>
      <c r="F77" s="211">
        <f>E77/E74</f>
        <v>0.31327931266495485</v>
      </c>
      <c r="H77" s="256">
        <f>Inputs!F93</f>
        <v>4301767</v>
      </c>
      <c r="I77" s="211">
        <f>H77/$H$74</f>
        <v>0.31327931266495485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1117869</v>
      </c>
      <c r="D79" s="217">
        <f>C79/C74</f>
        <v>8.1409623526671804E-2</v>
      </c>
      <c r="E79" s="218">
        <f>E76-E77-E78</f>
        <v>1117868.9999999991</v>
      </c>
      <c r="F79" s="217">
        <f>E79/E74</f>
        <v>8.1409623526671734E-2</v>
      </c>
      <c r="G79" s="219"/>
      <c r="H79" s="218">
        <f>H76-H77-H78</f>
        <v>1117868.9999999991</v>
      </c>
      <c r="I79" s="217">
        <f>H79/H74</f>
        <v>8.1409623526671734E-2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124056</v>
      </c>
      <c r="D81" s="101">
        <f>C81/$C$74</f>
        <v>9.0344684898005026E-3</v>
      </c>
      <c r="E81" s="214">
        <f>E74*F81</f>
        <v>124056.00000000001</v>
      </c>
      <c r="F81" s="211">
        <f>I81</f>
        <v>9.0344684898005026E-3</v>
      </c>
      <c r="H81" s="256">
        <f>Inputs!F94</f>
        <v>124056.00000000001</v>
      </c>
      <c r="I81" s="211">
        <f>H81/$H$74</f>
        <v>9.0344684898005026E-3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131487</v>
      </c>
      <c r="D82" s="101">
        <f>C82/$C$74</f>
        <v>9.5756364731927404E-3</v>
      </c>
      <c r="E82" s="256">
        <f>Inputs!E95</f>
        <v>131487</v>
      </c>
      <c r="F82" s="211">
        <f>E82/E74</f>
        <v>9.5756364731927404E-3</v>
      </c>
      <c r="H82" s="256">
        <f>Inputs!F95</f>
        <v>131487</v>
      </c>
      <c r="I82" s="211">
        <f>H82/$H$74</f>
        <v>9.5756364731927404E-3</v>
      </c>
      <c r="K82" s="75"/>
    </row>
    <row r="83" spans="1:11" ht="15" customHeight="1" thickBot="1" x14ac:dyDescent="0.4">
      <c r="B83" s="221" t="s">
        <v>113</v>
      </c>
      <c r="C83" s="222">
        <f>C79-C81-C82-C80</f>
        <v>862326</v>
      </c>
      <c r="D83" s="223">
        <f>C83/$C$74</f>
        <v>6.2799518563678561E-2</v>
      </c>
      <c r="E83" s="224">
        <f>E79-E81-E82-E80</f>
        <v>862325.99999999907</v>
      </c>
      <c r="F83" s="223">
        <f>E83/E74</f>
        <v>6.2799518563678491E-2</v>
      </c>
      <c r="H83" s="224">
        <f>H79-H81-H82-H80</f>
        <v>862325.99999999907</v>
      </c>
      <c r="I83" s="223">
        <f>H83/$H$74</f>
        <v>6.2799518563678491E-2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646744.5</v>
      </c>
      <c r="D85" s="217">
        <f>C85/$C$74</f>
        <v>4.7099638922758924E-2</v>
      </c>
      <c r="E85" s="229">
        <f>E83*(1-F84)</f>
        <v>646744.4999999993</v>
      </c>
      <c r="F85" s="217">
        <f>E85/E74</f>
        <v>4.7099638922758869E-2</v>
      </c>
      <c r="G85" s="219"/>
      <c r="H85" s="229">
        <f>H83*(1-I84)</f>
        <v>646744.4999999993</v>
      </c>
      <c r="I85" s="217">
        <f>H85/$H$74</f>
        <v>4.7099638922758869E-2</v>
      </c>
      <c r="K85" s="75"/>
    </row>
    <row r="86" spans="1:11" ht="15" customHeight="1" x14ac:dyDescent="0.35">
      <c r="B86" s="3" t="s">
        <v>143</v>
      </c>
      <c r="C86" s="230">
        <f>C85*Data!C4/Common_Shares</f>
        <v>1.1015769930516173</v>
      </c>
      <c r="D86" s="98"/>
      <c r="E86" s="231">
        <f>E85*Data!C4/Common_Shares</f>
        <v>1.1015769930516162</v>
      </c>
      <c r="F86" s="98"/>
      <c r="H86" s="231">
        <f>H85*Data!C4/Common_Shares</f>
        <v>1.1015769930516162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8.8578550202563722E-2</v>
      </c>
      <c r="D87" s="98"/>
      <c r="E87" s="233">
        <f>E86*Exchange_Rate/Dashboard!G3</f>
        <v>8.8578550202563625E-2</v>
      </c>
      <c r="F87" s="98"/>
      <c r="H87" s="233">
        <f>H86*Exchange_Rate/Dashboard!G3</f>
        <v>8.8578550202563625E-2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0.24840000000000001</v>
      </c>
      <c r="D88" s="235">
        <f>C88/C86</f>
        <v>0.22549490554616239</v>
      </c>
      <c r="E88" s="255">
        <f>Inputs!E98</f>
        <v>0.24840000000000001</v>
      </c>
      <c r="F88" s="235">
        <f>E88/E86</f>
        <v>0.22549490554616261</v>
      </c>
      <c r="H88" s="255">
        <f>Inputs!F98</f>
        <v>0.24840000000000001</v>
      </c>
      <c r="I88" s="235">
        <f>H88/H86</f>
        <v>0.22549490554616261</v>
      </c>
      <c r="K88" s="75"/>
    </row>
    <row r="89" spans="1:11" ht="15" customHeight="1" x14ac:dyDescent="0.35">
      <c r="B89" s="3" t="s">
        <v>193</v>
      </c>
      <c r="C89" s="232">
        <f>C88*Exchange_Rate/Dashboard!G3</f>
        <v>1.9974011811343107E-2</v>
      </c>
      <c r="D89" s="98"/>
      <c r="E89" s="232">
        <f>E88*Exchange_Rate/Dashboard!G3</f>
        <v>1.9974011811343107E-2</v>
      </c>
      <c r="F89" s="98"/>
      <c r="H89" s="232">
        <f>H88*Exchange_Rate/Dashboard!G3</f>
        <v>1.9974011811343107E-2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218.91742228675912</v>
      </c>
      <c r="H93" s="3" t="s">
        <v>182</v>
      </c>
      <c r="I93" s="237">
        <f>FV(H87,D93,0,-(H86/(C93-D94)))*Exchange_Rate</f>
        <v>218.91742228675912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38.048224526453602</v>
      </c>
      <c r="H94" s="3" t="s">
        <v>183</v>
      </c>
      <c r="I94" s="237">
        <f>FV(H89,D93,0,-(H88/(C93-D94)))*Exchange_Rate</f>
        <v>38.048224526453602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73486379.552000612</v>
      </c>
      <c r="D97" s="244"/>
      <c r="E97" s="245">
        <f>PV(C94,D93,0,-F93)</f>
        <v>125.16674670931519</v>
      </c>
      <c r="F97" s="244"/>
      <c r="H97" s="245">
        <f>PV(C94,D93,0,-I93)</f>
        <v>125.16674670931519</v>
      </c>
      <c r="I97" s="245">
        <f>PV(C93,D93,0,-I93)</f>
        <v>163.92548178560361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-53465138.725170135</v>
      </c>
      <c r="D99" s="248"/>
      <c r="E99" s="249">
        <f>IF(H99&gt;0,I64,H99)</f>
        <v>-91.065276550415973</v>
      </c>
      <c r="F99" s="248"/>
      <c r="H99" s="249">
        <f>I64</f>
        <v>-91.065276550415973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28.986249635064336</v>
      </c>
      <c r="E100" s="251">
        <f>MAX(E97+H98+E99,0)</f>
        <v>34.101470158899218</v>
      </c>
      <c r="F100" s="251">
        <f>(E100+H100)/2</f>
        <v>34.101470158899218</v>
      </c>
      <c r="H100" s="251">
        <f>MAX(H97+H98+H99,0)</f>
        <v>34.101470158899218</v>
      </c>
      <c r="I100" s="251">
        <f>MAX(I97+H98+H99,0)</f>
        <v>72.860205235187635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18.491066482744458</v>
      </c>
      <c r="E103" s="245">
        <f>PV(C94,D93,0,-F94)</f>
        <v>21.754195862052303</v>
      </c>
      <c r="F103" s="251">
        <f>(E103+H103)/2</f>
        <v>21.754195862052303</v>
      </c>
      <c r="H103" s="245">
        <f>PV(C94,D93,0,-I94)</f>
        <v>21.754195862052303</v>
      </c>
      <c r="I103" s="251">
        <f>PV(C93,D93,0,-I94)</f>
        <v>28.490530682458918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23.738658058904399</v>
      </c>
      <c r="E106" s="245">
        <f>(E100+E103)/2</f>
        <v>27.927833010475759</v>
      </c>
      <c r="F106" s="251">
        <f>(F100+F103)/2</f>
        <v>27.927833010475759</v>
      </c>
      <c r="H106" s="245">
        <f>(H100+H103)/2</f>
        <v>27.927833010475759</v>
      </c>
      <c r="I106" s="245">
        <f>(I100+I103)/2</f>
        <v>50.675367958823273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