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85CCFF3-8B82-431E-863D-6D2D227FBCA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3" i="4"/>
  <c r="F92" i="4"/>
  <c r="F91" i="4"/>
  <c r="F97" i="4" s="1"/>
  <c r="E91" i="4"/>
  <c r="E92" i="4" s="1"/>
  <c r="C78" i="4"/>
  <c r="D69" i="4"/>
  <c r="D68" i="4"/>
  <c r="C68" i="4"/>
  <c r="D67" i="4"/>
  <c r="C65" i="4"/>
  <c r="D63" i="4"/>
  <c r="D62" i="4"/>
  <c r="D61" i="4"/>
  <c r="D60" i="4"/>
  <c r="D59" i="4"/>
  <c r="D58" i="4"/>
  <c r="D71" i="4" s="1"/>
  <c r="D56" i="4"/>
  <c r="D55" i="4"/>
  <c r="D53" i="4"/>
  <c r="D50" i="4"/>
  <c r="C50" i="4"/>
  <c r="C48" i="4"/>
  <c r="D44" i="4"/>
  <c r="C44" i="4"/>
  <c r="F93" i="4" l="1"/>
  <c r="F94" i="4"/>
  <c r="F95" i="4"/>
  <c r="E95" i="4"/>
  <c r="F9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H36" i="2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H29" i="2" l="1"/>
  <c r="G29" i="2"/>
  <c r="D29" i="2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<sst xmlns="http://schemas.openxmlformats.org/spreadsheetml/2006/main" count="405" uniqueCount="289">
  <si>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</si>
  <si>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</si>
  <si>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</si>
  <si>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</si>
  <si>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</si>
  <si>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</si>
  <si>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</si>
  <si>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</si>
  <si>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</si>
  <si>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</si>
  <si>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</si>
  <si>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</si>
  <si>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</si>
  <si>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</si>
  <si>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</si>
  <si>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</si>
  <si>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</si>
  <si>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</si>
  <si>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</si>
  <si>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</si>
  <si>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</si>
  <si>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</si>
  <si>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</si>
  <si>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</si>
  <si>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</si>
  <si>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</si>
  <si>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</si>
  <si>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</si>
  <si>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</si>
  <si>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</si>
  <si>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</si>
  <si>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</si>
  <si>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</si>
  <si>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</si>
  <si>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</si>
  <si>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</si>
  <si>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</si>
  <si>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</si>
  <si>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</si>
  <si>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</si>
  <si>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</si>
  <si>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</si>
  <si>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</si>
  <si>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</si>
  <si>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</si>
  <si>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</si>
  <si>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</si>
  <si>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</si>
  <si>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</si>
  <si>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</si>
  <si>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</si>
  <si>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</si>
  <si>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</si>
  <si>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</si>
  <si>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</si>
  <si>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</si>
  <si>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</si>
  <si>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</si>
  <si>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</si>
  <si>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</si>
  <si>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</si>
  <si>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</si>
  <si>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</si>
  <si>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</si>
  <si>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</si>
  <si>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</si>
  <si>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</si>
  <si>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</si>
  <si>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</si>
  <si>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</si>
  <si>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</si>
  <si>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</si>
  <si>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</si>
  <si>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</si>
  <si>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</si>
  <si>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</si>
  <si>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</si>
  <si>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</si>
  <si>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</si>
  <si>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</si>
  <si>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</si>
  <si>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</si>
  <si>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</si>
  <si>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</si>
  <si>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</si>
  <si>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</si>
  <si>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</si>
  <si>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</si>
  <si>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</si>
  <si>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</si>
  <si>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</si>
  <si>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</si>
  <si>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</si>
  <si>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</si>
  <si>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</si>
  <si>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</si>
  <si>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</si>
  <si>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</si>
  <si>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</si>
  <si>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</si>
  <si>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</si>
  <si>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</si>
  <si>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</si>
  <si>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</si>
  <si>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</si>
  <si>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</si>
  <si>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</si>
  <si>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</si>
  <si>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</si>
  <si>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</si>
  <si>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</si>
  <si>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</si>
  <si>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</si>
  <si>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</si>
  <si>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</si>
  <si>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</si>
  <si>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</si>
  <si>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</si>
  <si>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</si>
  <si>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</si>
  <si>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</si>
  <si>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</si>
  <si>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</si>
  <si>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</si>
  <si>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</si>
  <si>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</si>
  <si>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</si>
  <si>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</si>
  <si>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</si>
  <si>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</si>
  <si>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</si>
  <si>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</si>
  <si>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</si>
  <si>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</si>
  <si>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</si>
  <si>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</si>
  <si>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</si>
  <si>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</si>
  <si>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</si>
  <si>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</si>
  <si>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</si>
  <si>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</si>
  <si>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</si>
  <si>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</si>
  <si>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</si>
  <si>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</si>
  <si>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</si>
  <si>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</si>
  <si>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</si>
  <si>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</si>
  <si>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</si>
  <si>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</si>
  <si>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</si>
  <si>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</si>
  <si>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</si>
  <si>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</si>
  <si>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</si>
  <si>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</si>
  <si>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</si>
  <si>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</si>
  <si>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</si>
  <si>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</si>
  <si>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</si>
  <si>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</si>
  <si>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</si>
  <si>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</si>
  <si>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</si>
  <si>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</si>
  <si>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</si>
  <si>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</si>
  <si>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</si>
  <si>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</si>
  <si>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</si>
  <si>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</si>
  <si>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</si>
  <si>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</si>
  <si>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</si>
  <si>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</si>
  <si>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</si>
  <si>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</si>
  <si>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</si>
  <si>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</si>
  <si>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</si>
  <si>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</si>
  <si>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</si>
  <si>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</si>
  <si>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</si>
  <si>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</si>
  <si>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</si>
  <si>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</si>
  <si>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</si>
  <si>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</si>
  <si>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</si>
  <si>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</si>
  <si>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</si>
  <si>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</si>
  <si>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</si>
  <si>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</si>
  <si>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</si>
  <si>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</si>
  <si>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</si>
  <si>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</si>
  <si>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</si>
  <si>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</si>
  <si>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</si>
  <si>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</si>
  <si>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</si>
  <si>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</si>
  <si>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</si>
  <si>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</si>
  <si>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</si>
  <si>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</si>
  <si>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</si>
  <si>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</si>
  <si>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</si>
  <si>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</si>
  <si>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</si>
  <si>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</si>
  <si>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</si>
  <si>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</si>
  <si>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</si>
  <si>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</si>
  <si>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</si>
  <si>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</si>
  <si>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</si>
  <si>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</si>
  <si>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</si>
  <si>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</si>
  <si>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</si>
  <si>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</si>
  <si>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</si>
  <si>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</si>
  <si>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</si>
  <si>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</si>
  <si>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</si>
  <si>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</si>
  <si>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</si>
  <si>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</si>
  <si>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</si>
  <si>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</si>
  <si>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</si>
  <si>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</si>
  <si>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</si>
  <si>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</si>
  <si>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</si>
  <si>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</si>
  <si>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</si>
  <si>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</si>
  <si>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</si>
  <si>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</si>
  <si>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</si>
  <si>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</si>
  <si>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</si>
  <si>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</si>
  <si>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</si>
  <si>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</si>
  <si>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</si>
  <si>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</si>
  <si>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</si>
  <si>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</si>
  <si>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</si>
  <si>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</si>
  <si>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</si>
  <si>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</si>
  <si>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</si>
  <si>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</si>
  <si>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</si>
  <si>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</si>
  <si>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</si>
  <si>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</si>
  <si>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</si>
  <si>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</si>
  <si>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</si>
  <si>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</si>
  <si>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</si>
  <si>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</si>
  <si>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</si>
  <si>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</si>
  <si>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</si>
  <si>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</si>
  <si>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</si>
  <si>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</si>
  <si>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</si>
  <si>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</si>
  <si>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</si>
  <si>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0697.HK</t>
  </si>
  <si>
    <t>首程控股</t>
  </si>
  <si>
    <t>Tier 3</t>
  </si>
  <si>
    <t>C0008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</si>
</sst>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188</v>
      </c>
    </row>
    <row r="4" spans="1:5" x14ac:dyDescent="0.35">
      <c r="B4" s="46" t="s">
        <v>168</v>
      </c>
      <c r="C4" s="66" t="s">
        <v>285</v>
      </c>
      <c r="D4" s="66"/>
    </row>
    <row r="5" spans="1:5" x14ac:dyDescent="0.35">
      <c r="B5" s="46" t="s">
        <v>169</v>
      </c>
      <c r="C5" s="67" t="s">
        <v>286</v>
      </c>
    </row>
    <row r="6" spans="1:5" x14ac:dyDescent="0.35">
      <c r="B6" s="46" t="s">
        <v>269</v>
      </c>
      <c r="C6" s="68">
        <v>45639</v>
      </c>
    </row>
    <row r="7" spans="1:5" x14ac:dyDescent="0.35">
      <c r="B7" s="39" t="s">
        <v>4</v>
      </c>
      <c r="C7" s="125">
        <v>8</v>
      </c>
    </row>
    <row r="8" spans="1:5" x14ac:dyDescent="0.35">
      <c r="B8" s="39" t="s">
        <v>189</v>
      </c>
      <c r="C8" s="118" t="s">
        <v>287</v>
      </c>
    </row>
    <row r="9" spans="1:5" x14ac:dyDescent="0.35">
      <c r="B9" s="39" t="s">
        <v>190</v>
      </c>
      <c r="C9" s="119" t="s">
        <v>288</v>
      </c>
    </row>
    <row r="10" spans="1:5" x14ac:dyDescent="0.35">
      <c r="B10" s="39" t="s">
        <v>191</v>
      </c>
      <c r="C10" s="70">
        <v>7286015440</v>
      </c>
    </row>
    <row r="11" spans="1:5" x14ac:dyDescent="0.35">
      <c r="B11" s="39" t="s">
        <v>192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193</v>
      </c>
      <c r="C14" s="72">
        <v>45473</v>
      </c>
    </row>
    <row r="15" spans="1:5" x14ac:dyDescent="0.35">
      <c r="B15" s="71" t="s">
        <v>222</v>
      </c>
      <c r="C15" s="117" t="s">
        <v>283</v>
      </c>
    </row>
    <row r="16" spans="1:5" x14ac:dyDescent="0.35">
      <c r="B16" s="74" t="s">
        <v>89</v>
      </c>
      <c r="C16" s="120">
        <v>0.25</v>
      </c>
      <c r="D16" s="75"/>
      <c r="E16" s="25" t="s">
        <v>252</v>
      </c>
    </row>
    <row r="17" spans="2:13" x14ac:dyDescent="0.35">
      <c r="B17" s="56" t="s">
        <v>197</v>
      </c>
      <c r="C17" s="121" t="s">
        <v>215</v>
      </c>
      <c r="D17" s="75"/>
    </row>
    <row r="18" spans="2:13" x14ac:dyDescent="0.35">
      <c r="B18" s="56" t="s">
        <v>210</v>
      </c>
      <c r="C18" s="121" t="s">
        <v>215</v>
      </c>
      <c r="D18" s="75"/>
    </row>
    <row r="19" spans="2:13" x14ac:dyDescent="0.35">
      <c r="B19" s="56" t="s">
        <v>211</v>
      </c>
      <c r="C19" s="121" t="s">
        <v>215</v>
      </c>
      <c r="D19" s="75"/>
    </row>
    <row r="20" spans="2:13" x14ac:dyDescent="0.35">
      <c r="B20" s="57" t="s">
        <v>200</v>
      </c>
      <c r="C20" s="121" t="s">
        <v>215</v>
      </c>
      <c r="D20" s="75"/>
    </row>
    <row r="21" spans="2:13" x14ac:dyDescent="0.35">
      <c r="B21" s="2" t="s">
        <v>203</v>
      </c>
      <c r="C21" s="121" t="s">
        <v>215</v>
      </c>
      <c r="D21" s="75"/>
    </row>
    <row r="22" spans="2:13" ht="69.75" x14ac:dyDescent="0.35">
      <c r="B22" s="59" t="s">
        <v>202</v>
      </c>
      <c r="C22" s="122" t="s">
        <v>284</v>
      </c>
      <c r="D22" s="75"/>
    </row>
    <row r="24" spans="2:13" x14ac:dyDescent="0.35">
      <c r="B24" s="76" t="s">
        <v>279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12</v>
      </c>
      <c r="C25" s="77">
        <v>883478</v>
      </c>
      <c r="D25" s="77">
        <v>1599809</v>
      </c>
      <c r="E25" s="77">
        <v>1195031</v>
      </c>
      <c r="F25" s="77">
        <v>705854</v>
      </c>
      <c r="G25" s="77">
        <v>396091</v>
      </c>
      <c r="H25" s="77">
        <v>1676296</v>
      </c>
      <c r="I25" s="77"/>
      <c r="J25" s="77"/>
      <c r="K25" s="77"/>
      <c r="L25" s="77"/>
      <c r="M25" s="77"/>
    </row>
    <row r="26" spans="2:13" x14ac:dyDescent="0.35">
      <c r="B26" s="264" t="s">
        <v>98</v>
      </c>
      <c r="C26" s="78">
        <v>523759</v>
      </c>
      <c r="D26" s="78">
        <v>535391</v>
      </c>
      <c r="E26" s="78">
        <v>647828</v>
      </c>
      <c r="F26" s="78">
        <v>531460</v>
      </c>
      <c r="G26" s="78">
        <v>193695</v>
      </c>
      <c r="H26" s="78">
        <v>1515759</v>
      </c>
      <c r="I26" s="78"/>
      <c r="J26" s="78"/>
      <c r="K26" s="78"/>
      <c r="L26" s="78"/>
      <c r="M26" s="78"/>
    </row>
    <row r="27" spans="2:13" x14ac:dyDescent="0.35">
      <c r="B27" s="264" t="s">
        <v>96</v>
      </c>
      <c r="C27" s="78">
        <v>299979</v>
      </c>
      <c r="D27" s="78">
        <v>378568</v>
      </c>
      <c r="E27" s="78">
        <v>343154</v>
      </c>
      <c r="F27" s="78">
        <v>250972</v>
      </c>
      <c r="G27" s="78">
        <v>231174</v>
      </c>
      <c r="H27" s="78">
        <v>164177</v>
      </c>
      <c r="I27" s="78"/>
      <c r="J27" s="78"/>
      <c r="K27" s="78"/>
      <c r="L27" s="78"/>
      <c r="M27" s="78"/>
    </row>
    <row r="28" spans="2:13" x14ac:dyDescent="0.35">
      <c r="B28" s="264" t="s">
        <v>99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223</v>
      </c>
      <c r="C29" s="78">
        <v>105689</v>
      </c>
      <c r="D29" s="78">
        <v>102356</v>
      </c>
      <c r="E29" s="78">
        <v>74343</v>
      </c>
      <c r="F29" s="78">
        <v>77168</v>
      </c>
      <c r="G29" s="78">
        <v>27358</v>
      </c>
      <c r="H29" s="78">
        <v>5699</v>
      </c>
      <c r="I29" s="78"/>
      <c r="J29" s="78"/>
      <c r="K29" s="78"/>
      <c r="L29" s="78"/>
      <c r="M29" s="78"/>
    </row>
    <row r="30" spans="2:13" x14ac:dyDescent="0.35">
      <c r="B30" s="303" t="s">
        <v>277</v>
      </c>
      <c r="C30" s="302"/>
      <c r="D30" s="302">
        <v>-7663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103</v>
      </c>
      <c r="C31" s="78">
        <v>55980</v>
      </c>
      <c r="D31" s="78">
        <v>-7663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97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100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106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135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244</v>
      </c>
      <c r="C37" s="78">
        <v>4197215</v>
      </c>
      <c r="D37" s="78"/>
      <c r="E37" s="78">
        <v>1972480</v>
      </c>
      <c r="F37" s="78">
        <v>699855</v>
      </c>
      <c r="G37" s="78">
        <v>289962</v>
      </c>
      <c r="H37" s="78">
        <v>404157</v>
      </c>
      <c r="I37" s="78"/>
      <c r="J37" s="78"/>
      <c r="K37" s="78"/>
      <c r="L37" s="78"/>
      <c r="M37" s="78"/>
    </row>
    <row r="38" spans="2:13" x14ac:dyDescent="0.35">
      <c r="B38" s="263" t="s">
        <v>249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17</v>
      </c>
      <c r="C39" s="79"/>
      <c r="D39" s="78"/>
      <c r="E39" s="78">
        <v>672819</v>
      </c>
      <c r="F39" s="78">
        <v>128928</v>
      </c>
      <c r="G39" s="78">
        <v>79063</v>
      </c>
      <c r="H39" s="78">
        <v>103143</v>
      </c>
      <c r="I39" s="78"/>
      <c r="J39" s="78"/>
      <c r="K39" s="78"/>
      <c r="L39" s="78"/>
      <c r="M39" s="78"/>
    </row>
    <row r="40" spans="2:13" x14ac:dyDescent="0.35">
      <c r="B40" s="263" t="s">
        <v>18</v>
      </c>
      <c r="C40" s="79"/>
      <c r="D40" s="78"/>
      <c r="E40" s="78">
        <v>1954184</v>
      </c>
      <c r="F40" s="78">
        <v>1488416</v>
      </c>
      <c r="G40" s="78">
        <v>848368</v>
      </c>
      <c r="H40" s="78">
        <v>0</v>
      </c>
      <c r="I40" s="78"/>
      <c r="J40" s="78"/>
      <c r="K40" s="78"/>
      <c r="L40" s="78"/>
      <c r="M40" s="78"/>
    </row>
    <row r="41" spans="2:13" x14ac:dyDescent="0.35">
      <c r="B41" s="280" t="s">
        <v>126</v>
      </c>
      <c r="C41" s="302">
        <v>10154883</v>
      </c>
      <c r="D41" s="302"/>
      <c r="E41" s="302">
        <v>10746578</v>
      </c>
      <c r="F41" s="302">
        <v>11919298</v>
      </c>
      <c r="G41" s="302">
        <v>9822624</v>
      </c>
      <c r="H41" s="302">
        <v>8995456</v>
      </c>
      <c r="I41" s="302"/>
      <c r="J41" s="302"/>
      <c r="K41" s="302"/>
      <c r="L41" s="302"/>
      <c r="M41" s="302"/>
    </row>
    <row r="42" spans="2:13" x14ac:dyDescent="0.35">
      <c r="B42" s="263" t="s">
        <v>127</v>
      </c>
      <c r="C42" s="78">
        <v>99525</v>
      </c>
      <c r="D42" s="78"/>
      <c r="E42" s="78">
        <v>100450</v>
      </c>
      <c r="F42" s="78">
        <v>147008</v>
      </c>
      <c r="G42" s="78">
        <v>138319</v>
      </c>
      <c r="H42" s="78">
        <v>29199</v>
      </c>
      <c r="I42" s="78"/>
      <c r="J42" s="78"/>
      <c r="K42" s="78"/>
      <c r="L42" s="78"/>
      <c r="M42" s="78"/>
    </row>
    <row r="43" spans="2:13" x14ac:dyDescent="0.35">
      <c r="B43" s="263" t="s">
        <v>125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181</v>
      </c>
      <c r="C44" s="81">
        <f>0.022+0.0328</f>
        <v>5.4800000000000001E-2</v>
      </c>
      <c r="D44" s="81">
        <f>0.054+0.0412</f>
        <v>9.5200000000000007E-2</v>
      </c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219</v>
      </c>
      <c r="C45" s="82">
        <f>IF(C44="","",C44*Exchange_Rate/Dashboard!$G$3)</f>
        <v>5.5353535353535356E-2</v>
      </c>
      <c r="D45" s="82">
        <f>IF(D44="","",D44*Exchange_Rate/Dashboard!$G$3)</f>
        <v>9.616161616161617E-2</v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28</v>
      </c>
      <c r="D47" s="84" t="s">
        <v>170</v>
      </c>
      <c r="E47" s="85" t="s">
        <v>30</v>
      </c>
    </row>
    <row r="48" spans="2:13" x14ac:dyDescent="0.35">
      <c r="B48" s="9" t="s">
        <v>31</v>
      </c>
      <c r="C48" s="86">
        <f>1315701+2706917</f>
        <v>4022618</v>
      </c>
      <c r="D48" s="109">
        <v>0.9</v>
      </c>
      <c r="E48" s="260"/>
    </row>
    <row r="49" spans="2:5" x14ac:dyDescent="0.35">
      <c r="B49" s="2" t="s">
        <v>124</v>
      </c>
      <c r="C49" s="86"/>
      <c r="D49" s="109">
        <v>0.8</v>
      </c>
      <c r="E49" s="260"/>
    </row>
    <row r="50" spans="2:5" x14ac:dyDescent="0.35">
      <c r="B50" s="9" t="s">
        <v>106</v>
      </c>
      <c r="C50" s="86">
        <f>254913+394199</f>
        <v>649112</v>
      </c>
      <c r="D50" s="109">
        <f>D51</f>
        <v>0.6</v>
      </c>
      <c r="E50" s="260"/>
    </row>
    <row r="51" spans="2:5" x14ac:dyDescent="0.35">
      <c r="B51" s="9" t="s">
        <v>35</v>
      </c>
      <c r="C51" s="86"/>
      <c r="D51" s="109">
        <v>0.6</v>
      </c>
      <c r="E51" s="260"/>
    </row>
    <row r="52" spans="2:5" x14ac:dyDescent="0.35">
      <c r="B52" s="9" t="s">
        <v>37</v>
      </c>
      <c r="C52" s="86">
        <v>171402</v>
      </c>
      <c r="D52" s="109">
        <v>0.5</v>
      </c>
      <c r="E52" s="260"/>
    </row>
    <row r="53" spans="2:5" x14ac:dyDescent="0.35">
      <c r="B53" s="2" t="s">
        <v>142</v>
      </c>
      <c r="C53" s="86"/>
      <c r="D53" s="109">
        <f>D50</f>
        <v>0.6</v>
      </c>
      <c r="E53" s="260"/>
    </row>
    <row r="54" spans="2:5" x14ac:dyDescent="0.35">
      <c r="B54" s="9" t="s">
        <v>227</v>
      </c>
      <c r="C54" s="86"/>
      <c r="D54" s="109">
        <v>0.1</v>
      </c>
      <c r="E54" s="260"/>
    </row>
    <row r="55" spans="2:5" x14ac:dyDescent="0.35">
      <c r="B55" s="9" t="s">
        <v>40</v>
      </c>
      <c r="C55" s="86"/>
      <c r="D55" s="109">
        <f>D52</f>
        <v>0.5</v>
      </c>
      <c r="E55" s="260"/>
    </row>
    <row r="56" spans="2:5" x14ac:dyDescent="0.35">
      <c r="B56" s="2" t="s">
        <v>41</v>
      </c>
      <c r="C56" s="86"/>
      <c r="D56" s="109">
        <f>D50</f>
        <v>0.6</v>
      </c>
      <c r="E56" s="261" t="s">
        <v>64</v>
      </c>
    </row>
    <row r="57" spans="2:5" x14ac:dyDescent="0.35">
      <c r="B57" s="9" t="s">
        <v>109</v>
      </c>
      <c r="C57" s="86"/>
      <c r="D57" s="109">
        <v>0.6</v>
      </c>
      <c r="E57" s="261" t="s">
        <v>39</v>
      </c>
    </row>
    <row r="58" spans="2:5" x14ac:dyDescent="0.35">
      <c r="B58" s="9" t="s">
        <v>43</v>
      </c>
      <c r="C58" s="86"/>
      <c r="D58" s="109">
        <f>D48</f>
        <v>0.9</v>
      </c>
      <c r="E58" s="260"/>
    </row>
    <row r="59" spans="2:5" x14ac:dyDescent="0.35">
      <c r="B59" s="12" t="s">
        <v>44</v>
      </c>
      <c r="C59" s="88"/>
      <c r="D59" s="110">
        <f>D70</f>
        <v>0.05</v>
      </c>
      <c r="E59" s="260"/>
    </row>
    <row r="60" spans="2:5" x14ac:dyDescent="0.35">
      <c r="B60" s="9" t="s">
        <v>54</v>
      </c>
      <c r="C60" s="86"/>
      <c r="D60" s="109">
        <f>D49</f>
        <v>0.8</v>
      </c>
      <c r="E60" s="260"/>
    </row>
    <row r="61" spans="2:5" x14ac:dyDescent="0.35">
      <c r="B61" s="9" t="s">
        <v>56</v>
      </c>
      <c r="C61" s="86"/>
      <c r="D61" s="109">
        <f>D51</f>
        <v>0.6</v>
      </c>
      <c r="E61" s="260"/>
    </row>
    <row r="62" spans="2:5" x14ac:dyDescent="0.35">
      <c r="B62" s="9" t="s">
        <v>58</v>
      </c>
      <c r="C62" s="86">
        <v>4626423</v>
      </c>
      <c r="D62" s="109">
        <f>D52</f>
        <v>0.5</v>
      </c>
      <c r="E62" s="260"/>
    </row>
    <row r="63" spans="2:5" x14ac:dyDescent="0.35">
      <c r="B63" s="2" t="s">
        <v>143</v>
      </c>
      <c r="C63" s="86"/>
      <c r="D63" s="109">
        <f>D62</f>
        <v>0.5</v>
      </c>
      <c r="E63" s="260"/>
    </row>
    <row r="64" spans="2:5" x14ac:dyDescent="0.35">
      <c r="B64" s="9" t="s">
        <v>226</v>
      </c>
      <c r="C64" s="86">
        <v>103165</v>
      </c>
      <c r="D64" s="109">
        <v>0.4</v>
      </c>
      <c r="E64" s="260"/>
    </row>
    <row r="65" spans="2:5" x14ac:dyDescent="0.35">
      <c r="B65" s="9" t="s">
        <v>63</v>
      </c>
      <c r="C65" s="86">
        <f>237097+544099</f>
        <v>781196</v>
      </c>
      <c r="D65" s="109">
        <v>0.1</v>
      </c>
      <c r="E65" s="261" t="s">
        <v>64</v>
      </c>
    </row>
    <row r="66" spans="2:5" x14ac:dyDescent="0.35">
      <c r="B66" s="9" t="s">
        <v>65</v>
      </c>
      <c r="C66" s="86">
        <v>875642</v>
      </c>
      <c r="D66" s="109">
        <v>0.2</v>
      </c>
      <c r="E66" s="261" t="s">
        <v>64</v>
      </c>
    </row>
    <row r="67" spans="2:5" x14ac:dyDescent="0.35">
      <c r="B67" s="2" t="s">
        <v>42</v>
      </c>
      <c r="C67" s="86"/>
      <c r="D67" s="109">
        <f>D65</f>
        <v>0.1</v>
      </c>
      <c r="E67" s="261" t="s">
        <v>39</v>
      </c>
    </row>
    <row r="68" spans="2:5" x14ac:dyDescent="0.35">
      <c r="B68" s="9" t="s">
        <v>108</v>
      </c>
      <c r="C68" s="86">
        <f>113151+2268116+164542</f>
        <v>2545809</v>
      </c>
      <c r="D68" s="109">
        <f>D65</f>
        <v>0.1</v>
      </c>
      <c r="E68" s="260"/>
    </row>
    <row r="69" spans="2:5" x14ac:dyDescent="0.35">
      <c r="B69" s="9" t="s">
        <v>66</v>
      </c>
      <c r="C69" s="86"/>
      <c r="D69" s="109">
        <f>D70</f>
        <v>0.05</v>
      </c>
      <c r="E69" s="260"/>
    </row>
    <row r="70" spans="2:5" x14ac:dyDescent="0.35">
      <c r="B70" s="9" t="s">
        <v>67</v>
      </c>
      <c r="C70" s="86"/>
      <c r="D70" s="109">
        <v>0.05</v>
      </c>
      <c r="E70" s="260"/>
    </row>
    <row r="71" spans="2:5" x14ac:dyDescent="0.35">
      <c r="B71" s="9" t="s">
        <v>68</v>
      </c>
      <c r="C71" s="86">
        <v>23095</v>
      </c>
      <c r="D71" s="109">
        <f>D58</f>
        <v>0.9</v>
      </c>
      <c r="E71" s="260"/>
    </row>
    <row r="72" spans="2:5" ht="12" thickBot="1" x14ac:dyDescent="0.4">
      <c r="B72" s="89" t="s">
        <v>69</v>
      </c>
      <c r="C72" s="90">
        <v>553636</v>
      </c>
      <c r="D72" s="111">
        <v>0</v>
      </c>
      <c r="E72" s="262"/>
    </row>
    <row r="73" spans="2:5" x14ac:dyDescent="0.35">
      <c r="B73" s="9" t="s">
        <v>32</v>
      </c>
      <c r="C73" s="86">
        <v>30697</v>
      </c>
    </row>
    <row r="74" spans="2:5" x14ac:dyDescent="0.35">
      <c r="B74" s="9" t="s">
        <v>33</v>
      </c>
      <c r="C74" s="86">
        <v>143877</v>
      </c>
    </row>
    <row r="75" spans="2:5" x14ac:dyDescent="0.35">
      <c r="B75" s="9" t="s">
        <v>34</v>
      </c>
      <c r="C75" s="86"/>
    </row>
    <row r="76" spans="2:5" x14ac:dyDescent="0.35">
      <c r="B76" s="8" t="s">
        <v>36</v>
      </c>
      <c r="C76" s="88">
        <v>222396</v>
      </c>
    </row>
    <row r="77" spans="2:5" ht="12" thickBot="1" x14ac:dyDescent="0.4">
      <c r="B77" s="91" t="s">
        <v>16</v>
      </c>
      <c r="C77" s="92">
        <v>1241245</v>
      </c>
    </row>
    <row r="78" spans="2:5" ht="12" thickTop="1" x14ac:dyDescent="0.35">
      <c r="B78" s="9" t="s">
        <v>55</v>
      </c>
      <c r="C78" s="86">
        <f>361148+714395</f>
        <v>1075543</v>
      </c>
    </row>
    <row r="79" spans="2:5" x14ac:dyDescent="0.35">
      <c r="B79" s="9" t="s">
        <v>57</v>
      </c>
      <c r="C79" s="86">
        <v>1679438</v>
      </c>
    </row>
    <row r="80" spans="2:5" x14ac:dyDescent="0.35">
      <c r="B80" s="9" t="s">
        <v>59</v>
      </c>
      <c r="C80" s="86"/>
    </row>
    <row r="81" spans="2:8" x14ac:dyDescent="0.35">
      <c r="B81" s="8" t="s">
        <v>60</v>
      </c>
      <c r="C81" s="88">
        <v>89231</v>
      </c>
    </row>
    <row r="82" spans="2:8" hidden="1" x14ac:dyDescent="0.35">
      <c r="B82" s="300" t="s">
        <v>278</v>
      </c>
      <c r="C82" s="79">
        <v>2955970</v>
      </c>
    </row>
    <row r="83" spans="2:8" hidden="1" x14ac:dyDescent="0.35">
      <c r="B83" s="300" t="s">
        <v>247</v>
      </c>
      <c r="C83" s="79">
        <v>10055358</v>
      </c>
    </row>
    <row r="84" spans="2:8" x14ac:dyDescent="0.35">
      <c r="B84" s="56" t="s">
        <v>83</v>
      </c>
      <c r="C84" s="86"/>
    </row>
    <row r="85" spans="2:8" x14ac:dyDescent="0.35">
      <c r="B85" s="56" t="s">
        <v>85</v>
      </c>
      <c r="C85" s="86"/>
    </row>
    <row r="86" spans="2:8" hidden="1" x14ac:dyDescent="0.35">
      <c r="B86" s="300" t="s">
        <v>248</v>
      </c>
      <c r="C86" s="79">
        <v>5</v>
      </c>
      <c r="D86" s="297"/>
    </row>
    <row r="87" spans="2:8" x14ac:dyDescent="0.35">
      <c r="B87" s="95" t="s">
        <v>218</v>
      </c>
      <c r="C87" s="107" t="s">
        <v>275</v>
      </c>
      <c r="D87" s="108">
        <v>0.02</v>
      </c>
    </row>
    <row r="89" spans="2:8" x14ac:dyDescent="0.35">
      <c r="B89" s="94" t="s">
        <v>116</v>
      </c>
      <c r="C89" s="310">
        <f>C24</f>
        <v>45291</v>
      </c>
      <c r="D89" s="310"/>
      <c r="E89" s="49" t="s">
        <v>180</v>
      </c>
      <c r="F89" s="49" t="s">
        <v>179</v>
      </c>
      <c r="H89" s="95"/>
    </row>
    <row r="90" spans="2:8" x14ac:dyDescent="0.35">
      <c r="B90" s="96" t="str">
        <f>"(Numbers in "&amp;Data!C4&amp;Dashboard!G6&amp;")"</f>
        <v>(Numbers in 1000HKD)</v>
      </c>
      <c r="C90" s="311" t="s">
        <v>93</v>
      </c>
      <c r="D90" s="311"/>
      <c r="E90" s="288" t="s">
        <v>94</v>
      </c>
      <c r="F90" s="289" t="s">
        <v>94</v>
      </c>
    </row>
    <row r="91" spans="2:8" x14ac:dyDescent="0.35">
      <c r="B91" s="9" t="s">
        <v>115</v>
      </c>
      <c r="C91" s="97">
        <f>C25</f>
        <v>883478</v>
      </c>
      <c r="D91" s="98"/>
      <c r="E91" s="99">
        <f>C91</f>
        <v>883478</v>
      </c>
      <c r="F91" s="99">
        <f>C91</f>
        <v>883478</v>
      </c>
    </row>
    <row r="92" spans="2:8" x14ac:dyDescent="0.35">
      <c r="B92" s="100" t="s">
        <v>98</v>
      </c>
      <c r="C92" s="97">
        <f>C26</f>
        <v>523759</v>
      </c>
      <c r="D92" s="101">
        <f>C92/C91</f>
        <v>0.59283762583788169</v>
      </c>
      <c r="E92" s="102">
        <f>E91*D92</f>
        <v>523759.00000000006</v>
      </c>
      <c r="F92" s="102">
        <f>F91*D92</f>
        <v>523759.00000000006</v>
      </c>
    </row>
    <row r="93" spans="2:8" x14ac:dyDescent="0.35">
      <c r="B93" s="100" t="s">
        <v>217</v>
      </c>
      <c r="C93" s="97">
        <f>C27+C28</f>
        <v>299979</v>
      </c>
      <c r="D93" s="101">
        <f>C93/C91</f>
        <v>0.33954325970765542</v>
      </c>
      <c r="E93" s="102">
        <f>E91*D93</f>
        <v>299979</v>
      </c>
      <c r="F93" s="102">
        <f>F91*D93</f>
        <v>299979</v>
      </c>
    </row>
    <row r="94" spans="2:8" x14ac:dyDescent="0.35">
      <c r="B94" s="100" t="s">
        <v>223</v>
      </c>
      <c r="C94" s="97">
        <f>C29</f>
        <v>105689</v>
      </c>
      <c r="D94" s="101">
        <f>C94/C91</f>
        <v>0.11962833256742103</v>
      </c>
      <c r="E94" s="103"/>
      <c r="F94" s="102">
        <f>F91*D94</f>
        <v>105689</v>
      </c>
    </row>
    <row r="95" spans="2:8" x14ac:dyDescent="0.35">
      <c r="B95" s="18" t="s">
        <v>216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102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151</v>
      </c>
      <c r="C97" s="97">
        <f>MAX(C31,0)/(1-C16)</f>
        <v>74640</v>
      </c>
      <c r="D97" s="101">
        <f>C97/C91</f>
        <v>8.4484276914648701E-2</v>
      </c>
      <c r="E97" s="103"/>
      <c r="F97" s="102">
        <f>F91*D97</f>
        <v>74640</v>
      </c>
    </row>
    <row r="98" spans="2:6" x14ac:dyDescent="0.35">
      <c r="B98" s="8" t="s">
        <v>181</v>
      </c>
      <c r="C98" s="104">
        <f>C44</f>
        <v>5.4800000000000001E-2</v>
      </c>
      <c r="D98" s="105"/>
      <c r="E98" s="106">
        <f>F98</f>
        <v>5.4800000000000001E-2</v>
      </c>
      <c r="F98" s="106">
        <f>C98</f>
        <v>5.4800000000000001E-2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0697.HK : 首程控股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168</v>
      </c>
      <c r="C3" s="312" t="str">
        <f>Inputs!C4</f>
        <v>0697.HK</v>
      </c>
      <c r="D3" s="313"/>
      <c r="E3" s="3"/>
      <c r="F3" s="9" t="s">
        <v>1</v>
      </c>
      <c r="G3" s="10">
        <v>0.99</v>
      </c>
      <c r="H3" s="11" t="s">
        <v>257</v>
      </c>
    </row>
    <row r="4" spans="1:10" ht="15.75" customHeight="1" x14ac:dyDescent="0.35">
      <c r="B4" s="12" t="s">
        <v>169</v>
      </c>
      <c r="C4" s="314" t="str">
        <f>Inputs!C5</f>
        <v>首程控股</v>
      </c>
      <c r="D4" s="315"/>
      <c r="E4" s="3"/>
      <c r="F4" s="9" t="s">
        <v>3</v>
      </c>
      <c r="G4" s="318">
        <f>Inputs!C10</f>
        <v>7286015440</v>
      </c>
      <c r="H4" s="318"/>
      <c r="I4" s="14"/>
    </row>
    <row r="5" spans="1:10" ht="15.75" customHeight="1" x14ac:dyDescent="0.35">
      <c r="B5" s="9" t="s">
        <v>146</v>
      </c>
      <c r="C5" s="316">
        <f>Inputs!C6</f>
        <v>45639</v>
      </c>
      <c r="D5" s="317"/>
      <c r="E5" s="16"/>
      <c r="F5" s="12" t="s">
        <v>92</v>
      </c>
      <c r="G5" s="321">
        <f>G3*G4/1000000</f>
        <v>7213.1552856000008</v>
      </c>
      <c r="H5" s="321"/>
      <c r="I5" s="17"/>
      <c r="J5" s="18"/>
    </row>
    <row r="6" spans="1:10" ht="15.75" customHeight="1" x14ac:dyDescent="0.35">
      <c r="B6" s="3" t="s">
        <v>4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22" t="str">
        <f>Inputs!C11</f>
        <v>HKD</v>
      </c>
      <c r="H6" s="322"/>
      <c r="I6" s="17"/>
    </row>
    <row r="7" spans="1:10" ht="15.75" customHeight="1" x14ac:dyDescent="0.35">
      <c r="B7" s="8" t="s">
        <v>166</v>
      </c>
      <c r="C7" s="123" t="str">
        <f>Inputs!C8</f>
        <v>Tier 3</v>
      </c>
      <c r="D7" s="123" t="str">
        <f>Inputs!C9</f>
        <v>C0008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3" t="s">
        <v>258</v>
      </c>
      <c r="C9" s="285"/>
      <c r="D9" s="285"/>
      <c r="F9" s="23" t="s">
        <v>161</v>
      </c>
    </row>
    <row r="10" spans="1:10" ht="15.75" customHeight="1" x14ac:dyDescent="0.35">
      <c r="B10" s="2" t="s">
        <v>153</v>
      </c>
      <c r="C10" s="24">
        <v>4.2000000000000003E-2</v>
      </c>
      <c r="F10" s="25" t="s">
        <v>160</v>
      </c>
    </row>
    <row r="11" spans="1:10" ht="15.75" customHeight="1" thickBot="1" x14ac:dyDescent="0.4">
      <c r="B11" s="26" t="s">
        <v>157</v>
      </c>
      <c r="C11" s="27">
        <v>5.2299999999999999E-2</v>
      </c>
      <c r="D11" s="28" t="s">
        <v>165</v>
      </c>
      <c r="F11" s="25" t="s">
        <v>155</v>
      </c>
    </row>
    <row r="12" spans="1:10" ht="15.75" customHeight="1" thickTop="1" x14ac:dyDescent="0.35">
      <c r="B12" s="3" t="s">
        <v>220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154</v>
      </c>
      <c r="C14" s="24">
        <v>1.8100000000000002E-2</v>
      </c>
      <c r="F14" s="25" t="s">
        <v>159</v>
      </c>
    </row>
    <row r="15" spans="1:10" ht="15.75" customHeight="1" x14ac:dyDescent="0.35">
      <c r="B15" s="2" t="s">
        <v>162</v>
      </c>
      <c r="C15" s="24">
        <v>6.5000000000000002E-2</v>
      </c>
      <c r="F15" s="25" t="s">
        <v>158</v>
      </c>
    </row>
    <row r="16" spans="1:10" ht="15.75" customHeight="1" thickBot="1" x14ac:dyDescent="0.4">
      <c r="B16" s="26" t="s">
        <v>163</v>
      </c>
      <c r="C16" s="27">
        <v>0.16</v>
      </c>
      <c r="D16" s="29" t="str">
        <f>Inputs!C15</f>
        <v>CN</v>
      </c>
      <c r="F16" s="25" t="s">
        <v>156</v>
      </c>
    </row>
    <row r="17" spans="1:8" ht="15.75" customHeight="1" thickTop="1" x14ac:dyDescent="0.35">
      <c r="B17" s="3" t="s">
        <v>221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243</v>
      </c>
      <c r="C19" s="285"/>
      <c r="D19" s="285"/>
      <c r="E19" s="3"/>
      <c r="F19" s="83" t="s">
        <v>186</v>
      </c>
      <c r="G19" s="285"/>
      <c r="H19" s="285"/>
    </row>
    <row r="20" spans="1:8" ht="15.75" customHeight="1" thickBot="1" x14ac:dyDescent="0.4">
      <c r="B20" s="30" t="s">
        <v>234</v>
      </c>
      <c r="C20" s="31">
        <f>C21*C22*C23</f>
        <v>-1.4817970677921169E-3</v>
      </c>
      <c r="F20" s="3" t="s">
        <v>185</v>
      </c>
      <c r="G20" s="116">
        <v>0.15</v>
      </c>
      <c r="H20" s="299">
        <v>4</v>
      </c>
    </row>
    <row r="21" spans="1:8" ht="15.75" customHeight="1" thickTop="1" x14ac:dyDescent="0.35">
      <c r="B21" s="32" t="s">
        <v>239</v>
      </c>
      <c r="C21" s="33">
        <f>Data!C13</f>
        <v>-1.6865162460185767E-2</v>
      </c>
      <c r="F21" s="3"/>
      <c r="G21" s="34"/>
    </row>
    <row r="22" spans="1:8" ht="15.75" customHeight="1" x14ac:dyDescent="0.35">
      <c r="B22" s="35" t="s">
        <v>245</v>
      </c>
      <c r="C22" s="36">
        <f>Data!C50</f>
        <v>6.155741132759824E-2</v>
      </c>
      <c r="F22" s="83" t="s">
        <v>259</v>
      </c>
      <c r="G22" s="285"/>
      <c r="H22" s="285"/>
    </row>
    <row r="23" spans="1:8" ht="15.75" customHeight="1" thickBot="1" x14ac:dyDescent="0.4">
      <c r="B23" s="37" t="s">
        <v>251</v>
      </c>
      <c r="C23" s="38">
        <f>1/Data!C55</f>
        <v>1.4273085055748389</v>
      </c>
      <c r="F23" s="39" t="s">
        <v>164</v>
      </c>
      <c r="G23" s="40">
        <f>G3/(Data!C36*Data!C4/Common_Shares*Exchange_Rate)</f>
        <v>0.71031397265729213</v>
      </c>
    </row>
    <row r="24" spans="1:8" ht="15.75" customHeight="1" x14ac:dyDescent="0.35">
      <c r="B24" s="41" t="s">
        <v>240</v>
      </c>
      <c r="C24" s="42">
        <f>Fin_Analysis!I81</f>
        <v>0.11962833256742103</v>
      </c>
      <c r="F24" s="39" t="s">
        <v>225</v>
      </c>
      <c r="G24" s="43">
        <f>G3/(Fin_Analysis!H86*G7)</f>
        <v>-79.754707152393635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152</v>
      </c>
      <c r="G25" s="44">
        <f>Fin_Analysis!I88</f>
        <v>-4.41470500197088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167</v>
      </c>
      <c r="G26" s="47">
        <f>Fin_Analysis!H88*Exchange_Rate/G3</f>
        <v>5.5353535353535356E-2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148</v>
      </c>
      <c r="D28" s="50" t="s">
        <v>149</v>
      </c>
      <c r="E28" s="51"/>
      <c r="F28" s="52" t="s">
        <v>209</v>
      </c>
      <c r="G28" s="319" t="s">
        <v>224</v>
      </c>
      <c r="H28" s="319"/>
    </row>
    <row r="29" spans="1:8" ht="15.75" customHeight="1" x14ac:dyDescent="0.35">
      <c r="B29" s="3" t="s">
        <v>150</v>
      </c>
      <c r="C29" s="53">
        <f>IF(Fin_Analysis!C108="Profit",Fin_Analysis!D100,IF(Fin_Analysis!C108="Dividend",Fin_Analysis!D103,Fin_Analysis!D106))</f>
        <v>9.2119564034984502E-2</v>
      </c>
      <c r="D29" s="54">
        <f>G29*(1+G20)</f>
        <v>8.7698022450865484E-2</v>
      </c>
      <c r="E29" s="3"/>
      <c r="F29" s="55">
        <f>IF(Fin_Analysis!C108="Profit",Fin_Analysis!F100,IF(Fin_Analysis!C108="Dividend",Fin_Analysis!F103,Fin_Analysis!F106))</f>
        <v>0.10837595768821706</v>
      </c>
      <c r="G29" s="320">
        <f>IF(Fin_Analysis!C108="Profit",Fin_Analysis!I100,IF(Fin_Analysis!C108="Dividend",Fin_Analysis!I103,Fin_Analysis!I106))</f>
        <v>7.6259149957274341E-2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195</v>
      </c>
    </row>
    <row r="32" spans="1:8" ht="15.75" customHeight="1" x14ac:dyDescent="0.35">
      <c r="B32" s="83" t="s">
        <v>196</v>
      </c>
      <c r="C32" s="285"/>
      <c r="D32" s="285"/>
    </row>
    <row r="33" spans="1:4" ht="15.75" customHeight="1" x14ac:dyDescent="0.35">
      <c r="B33" s="56" t="s">
        <v>197</v>
      </c>
      <c r="C33" s="112" t="str">
        <f>Inputs!C17</f>
        <v>unclear</v>
      </c>
    </row>
    <row r="34" spans="1:4" ht="15.75" customHeight="1" x14ac:dyDescent="0.35">
      <c r="B34" s="57" t="s">
        <v>198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4" ht="15.75" customHeight="1" x14ac:dyDescent="0.35">
      <c r="B35" s="83" t="s">
        <v>258</v>
      </c>
      <c r="C35" s="285"/>
      <c r="D35" s="285"/>
    </row>
    <row r="36" spans="1:4" ht="15.75" customHeight="1" x14ac:dyDescent="0.35">
      <c r="B36" s="56" t="s">
        <v>210</v>
      </c>
      <c r="C36" s="112" t="str">
        <f>Inputs!C18</f>
        <v>unclear</v>
      </c>
    </row>
    <row r="37" spans="1:4" ht="15.75" customHeight="1" x14ac:dyDescent="0.35">
      <c r="B37" s="56" t="s">
        <v>211</v>
      </c>
      <c r="C37" s="112" t="str">
        <f>Inputs!C19</f>
        <v>unclear</v>
      </c>
    </row>
    <row r="38" spans="1:4" ht="15.75" customHeight="1" x14ac:dyDescent="0.35">
      <c r="B38" s="83" t="s">
        <v>199</v>
      </c>
      <c r="C38" s="285"/>
      <c r="D38" s="285"/>
    </row>
    <row r="39" spans="1:4" ht="15.75" customHeight="1" x14ac:dyDescent="0.35">
      <c r="B39" s="57" t="s">
        <v>200</v>
      </c>
      <c r="C39" s="112" t="str">
        <f>Inputs!C20</f>
        <v>unclear</v>
      </c>
    </row>
    <row r="40" spans="1:4" ht="15.75" customHeight="1" x14ac:dyDescent="0.35">
      <c r="B40" s="2" t="s">
        <v>203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201</v>
      </c>
    </row>
    <row r="43" spans="1:4" ht="58.15" x14ac:dyDescent="0.35">
      <c r="B43" s="59" t="s">
        <v>202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9</v>
      </c>
      <c r="C2" s="130"/>
      <c r="D2" s="131"/>
      <c r="E2" s="132" t="s">
        <v>173</v>
      </c>
      <c r="F2" s="133" t="s">
        <v>176</v>
      </c>
      <c r="G2" s="132" t="s">
        <v>177</v>
      </c>
      <c r="H2" s="134" t="s">
        <v>178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10</v>
      </c>
      <c r="C3" s="137">
        <f>Inputs!C12</f>
        <v>45291</v>
      </c>
      <c r="E3" s="138" t="s">
        <v>174</v>
      </c>
      <c r="F3" s="139">
        <f>H14</f>
        <v>-3640</v>
      </c>
      <c r="G3" s="139">
        <f>C14</f>
        <v>-14900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11</v>
      </c>
      <c r="C4" s="13">
        <f>Inputs!C13</f>
        <v>1000</v>
      </c>
      <c r="D4" s="2" t="str">
        <f>Dashboard!G6</f>
        <v>HKD</v>
      </c>
      <c r="E4" s="138" t="s">
        <v>175</v>
      </c>
      <c r="F4" s="141">
        <f>(G3/F3)^(1/H3)-1</f>
        <v>0.26477754785418428</v>
      </c>
      <c r="J4" s="3"/>
    </row>
    <row r="5" spans="1:14" ht="15.75" customHeight="1" x14ac:dyDescent="0.35">
      <c r="A5" s="129"/>
      <c r="B5" s="76" t="s">
        <v>122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12</v>
      </c>
      <c r="C6" s="142">
        <f>IF(Inputs!C25=""," ",Inputs!C25)</f>
        <v>883478</v>
      </c>
      <c r="D6" s="142">
        <f>IF(Inputs!D25="","",Inputs!D25)</f>
        <v>1599809</v>
      </c>
      <c r="E6" s="142">
        <f>IF(Inputs!E25="","",Inputs!E25)</f>
        <v>1195031</v>
      </c>
      <c r="F6" s="142">
        <f>IF(Inputs!F25="","",Inputs!F25)</f>
        <v>705854</v>
      </c>
      <c r="G6" s="142">
        <f>IF(Inputs!G25="","",Inputs!G25)</f>
        <v>396091</v>
      </c>
      <c r="H6" s="142">
        <f>IF(Inputs!H25="","",Inputs!H25)</f>
        <v>1676296</v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13</v>
      </c>
      <c r="C7" s="143">
        <f t="shared" ref="C7:M7" si="1">IF(D6="","",C6/D6-1)</f>
        <v>-0.44776032638896268</v>
      </c>
      <c r="D7" s="143">
        <f t="shared" si="1"/>
        <v>0.33871757301693428</v>
      </c>
      <c r="E7" s="143">
        <f t="shared" si="1"/>
        <v>0.69302858664823042</v>
      </c>
      <c r="F7" s="143">
        <f t="shared" si="1"/>
        <v>0.78205008445029045</v>
      </c>
      <c r="G7" s="143">
        <f t="shared" si="1"/>
        <v>-0.76371058571994443</v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98</v>
      </c>
      <c r="C8" s="144">
        <f>IF(Inputs!C26="","",Inputs!C26)</f>
        <v>523759</v>
      </c>
      <c r="D8" s="144">
        <f>IF(Inputs!D26="","",Inputs!D26)</f>
        <v>535391</v>
      </c>
      <c r="E8" s="144">
        <f>IF(Inputs!E26="","",Inputs!E26)</f>
        <v>647828</v>
      </c>
      <c r="F8" s="144">
        <f>IF(Inputs!F26="","",Inputs!F26)</f>
        <v>531460</v>
      </c>
      <c r="G8" s="144">
        <f>IF(Inputs!G26="","",Inputs!G26)</f>
        <v>193695</v>
      </c>
      <c r="H8" s="144">
        <f>IF(Inputs!H26="","",Inputs!H26)</f>
        <v>1515759</v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95</v>
      </c>
      <c r="C9" s="273">
        <f t="shared" ref="C9:M9" si="2">IF(C6="","",(C6-C8))</f>
        <v>359719</v>
      </c>
      <c r="D9" s="273">
        <f t="shared" si="2"/>
        <v>1064418</v>
      </c>
      <c r="E9" s="273">
        <f t="shared" si="2"/>
        <v>547203</v>
      </c>
      <c r="F9" s="273">
        <f t="shared" si="2"/>
        <v>174394</v>
      </c>
      <c r="G9" s="273">
        <f t="shared" si="2"/>
        <v>202396</v>
      </c>
      <c r="H9" s="273">
        <f t="shared" si="2"/>
        <v>160537</v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96</v>
      </c>
      <c r="C10" s="144">
        <f>IF(Inputs!C27="","",Inputs!C27)</f>
        <v>299979</v>
      </c>
      <c r="D10" s="144">
        <f>IF(Inputs!D27="","",Inputs!D27)</f>
        <v>378568</v>
      </c>
      <c r="E10" s="144">
        <f>IF(Inputs!E27="","",Inputs!E27)</f>
        <v>343154</v>
      </c>
      <c r="F10" s="144">
        <f>IF(Inputs!F27="","",Inputs!F27)</f>
        <v>250972</v>
      </c>
      <c r="G10" s="144">
        <f>IF(Inputs!G27="","",Inputs!G27)</f>
        <v>231174</v>
      </c>
      <c r="H10" s="144">
        <f>IF(Inputs!H27="","",Inputs!H27)</f>
        <v>164177</v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99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212</v>
      </c>
      <c r="C12" s="144">
        <f>IF(Inputs!C31="","",MAX(Inputs!C31,0)/(1-Fin_Analysis!$I$84))</f>
        <v>74640</v>
      </c>
      <c r="D12" s="144">
        <f>IF(Inputs!D31="","",MAX(Inputs!D31,0)/(1-Fin_Analysis!$I$84))</f>
        <v>0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213</v>
      </c>
      <c r="C13" s="292">
        <f t="shared" ref="C13:M13" si="3">IF(C14="","",C14/C6)</f>
        <v>-1.6865162460185767E-2</v>
      </c>
      <c r="D13" s="292">
        <f t="shared" si="3"/>
        <v>0.42870742694909203</v>
      </c>
      <c r="E13" s="292">
        <f t="shared" si="3"/>
        <v>0.1707478718125304</v>
      </c>
      <c r="F13" s="292">
        <f t="shared" si="3"/>
        <v>-0.10848985767594999</v>
      </c>
      <c r="G13" s="292">
        <f t="shared" si="3"/>
        <v>-7.265502119462447E-2</v>
      </c>
      <c r="H13" s="292">
        <f t="shared" si="3"/>
        <v>-2.1714542061783836E-3</v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205</v>
      </c>
      <c r="C14" s="294">
        <f>IF(C6="","",C9-C10-MAX(C11,0)-MAX(C12,0))</f>
        <v>-14900</v>
      </c>
      <c r="D14" s="294">
        <f t="shared" ref="D14:M14" si="4">IF(D6="","",D9-D10-MAX(D11,0)-MAX(D12,0))</f>
        <v>685850</v>
      </c>
      <c r="E14" s="294">
        <f t="shared" si="4"/>
        <v>204049</v>
      </c>
      <c r="F14" s="294">
        <f t="shared" si="4"/>
        <v>-76578</v>
      </c>
      <c r="G14" s="294">
        <f t="shared" si="4"/>
        <v>-28778</v>
      </c>
      <c r="H14" s="294">
        <f t="shared" si="4"/>
        <v>-3640</v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214</v>
      </c>
      <c r="C15" s="296" t="str">
        <f>IF(D14="","",IF(ABS(C14+D14)=ABS(C14)+ABS(D14),IF(C14&lt;0,-1,1)*(C14-D14)/D14,"Turn"))</f>
        <v>Turn</v>
      </c>
      <c r="D15" s="296">
        <f t="shared" ref="D15:M15" si="5">IF(E14="","",IF(ABS(D14+E14)=ABS(D14)+ABS(E14),IF(D14&lt;0,-1,1)*(D14-E14)/E14,"Turn"))</f>
        <v>2.3612024562727578</v>
      </c>
      <c r="E15" s="296" t="str">
        <f t="shared" si="5"/>
        <v>Turn</v>
      </c>
      <c r="F15" s="296">
        <f t="shared" si="5"/>
        <v>-1.6609910348182639</v>
      </c>
      <c r="G15" s="296">
        <f t="shared" si="5"/>
        <v>-6.9060439560439564</v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280</v>
      </c>
      <c r="C16" s="147" t="str">
        <f>IF(C17="","",C17-C14)</f>
        <v/>
      </c>
      <c r="D16" s="147">
        <f t="shared" ref="D16:M16" si="6">IF(D17="","",D17-D14)</f>
        <v>-693513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277</v>
      </c>
      <c r="C17" s="307" t="str">
        <f>IF(Inputs!C30="","",Inputs!C30)</f>
        <v/>
      </c>
      <c r="D17" s="307">
        <f>IF(Inputs!D30="","",Inputs!D30)</f>
        <v>-7663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102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223</v>
      </c>
      <c r="C19" s="144">
        <f>IF(Inputs!C29="","",Inputs!C29)</f>
        <v>105689</v>
      </c>
      <c r="D19" s="144">
        <f>IF(Inputs!D29="","",Inputs!D29)</f>
        <v>102356</v>
      </c>
      <c r="E19" s="144">
        <f>IF(Inputs!E29="","",Inputs!E29)</f>
        <v>74343</v>
      </c>
      <c r="F19" s="144">
        <f>IF(Inputs!F29="","",Inputs!F29)</f>
        <v>77168</v>
      </c>
      <c r="G19" s="144">
        <f>IF(Inputs!G29="","",Inputs!G29)</f>
        <v>27358</v>
      </c>
      <c r="H19" s="144">
        <f>IF(Inputs!H29="","",Inputs!H29)</f>
        <v>5699</v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91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97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207</v>
      </c>
      <c r="C22" s="227">
        <f t="shared" ref="C22:M22" si="8">IF(C6="","",MAX(C23,0)/C6)</f>
        <v>0</v>
      </c>
      <c r="D22" s="227">
        <f t="shared" si="8"/>
        <v>0</v>
      </c>
      <c r="E22" s="227">
        <f t="shared" si="8"/>
        <v>0</v>
      </c>
      <c r="F22" s="227">
        <f t="shared" si="8"/>
        <v>0</v>
      </c>
      <c r="G22" s="227">
        <f t="shared" si="8"/>
        <v>0</v>
      </c>
      <c r="H22" s="227">
        <f t="shared" si="8"/>
        <v>0</v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100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281</v>
      </c>
      <c r="C24" s="309">
        <f t="shared" ref="C24:M24" si="9">IF(C6="","",C14-MAX(C18,0)-MAX(C19,0)-ABS(MAX(C23,0)-MAX(C21,0)))</f>
        <v>-120589</v>
      </c>
      <c r="D24" s="309">
        <f t="shared" si="9"/>
        <v>583494</v>
      </c>
      <c r="E24" s="309">
        <f t="shared" si="9"/>
        <v>129706</v>
      </c>
      <c r="F24" s="309">
        <f t="shared" si="9"/>
        <v>-153746</v>
      </c>
      <c r="G24" s="309">
        <f t="shared" si="9"/>
        <v>-56136</v>
      </c>
      <c r="H24" s="309">
        <f t="shared" si="9"/>
        <v>-9339</v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104</v>
      </c>
      <c r="C25" s="143">
        <f t="shared" ref="C25:M25" si="10">IF(C6="","",C26/C6)</f>
        <v>-0.10237012127070511</v>
      </c>
      <c r="D25" s="143">
        <f t="shared" si="10"/>
        <v>0.27354546699012194</v>
      </c>
      <c r="E25" s="143">
        <f t="shared" si="10"/>
        <v>8.1403327612421764E-2</v>
      </c>
      <c r="F25" s="143">
        <f t="shared" si="10"/>
        <v>-0.16336168669441556</v>
      </c>
      <c r="G25" s="143">
        <f t="shared" si="10"/>
        <v>-0.10629375572785042</v>
      </c>
      <c r="H25" s="143">
        <f t="shared" si="10"/>
        <v>-4.1784088251716877E-3</v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282</v>
      </c>
      <c r="C26" s="275">
        <f>IF(C6="","",C24*(1-Fin_Analysis!$I$84))</f>
        <v>-90441.75</v>
      </c>
      <c r="D26" s="276">
        <f>IF(D6="","",D24*(1-Fin_Analysis!$I$84))</f>
        <v>437620.5</v>
      </c>
      <c r="E26" s="276">
        <f>IF(E6="","",E24*(1-Fin_Analysis!$I$84))</f>
        <v>97279.5</v>
      </c>
      <c r="F26" s="276">
        <f>IF(F6="","",F24*(1-Fin_Analysis!$I$84))</f>
        <v>-115309.5</v>
      </c>
      <c r="G26" s="276">
        <f>IF(G6="","",G24*(1-Fin_Analysis!$I$84))</f>
        <v>-42102</v>
      </c>
      <c r="H26" s="276">
        <f>IF(H6="","",H24*(1-Fin_Analysis!$I$84))</f>
        <v>-7004.25</v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117</v>
      </c>
      <c r="C27" s="305" t="str">
        <f t="shared" ref="C27:M27" si="11">IF(D26="","",IF(ABS(C26+D26)=ABS(C26)+ABS(D26),IF(C26&lt;0,-1,1)*(C26-D26)/D26,"Turn"))</f>
        <v>Turn</v>
      </c>
      <c r="D27" s="305">
        <f t="shared" si="11"/>
        <v>3.4985891169259711</v>
      </c>
      <c r="E27" s="305" t="str">
        <f t="shared" si="11"/>
        <v>Turn</v>
      </c>
      <c r="F27" s="305">
        <f t="shared" si="11"/>
        <v>-1.7388128829984324</v>
      </c>
      <c r="G27" s="305">
        <f t="shared" si="11"/>
        <v>-5.0109219402505625</v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123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14</v>
      </c>
      <c r="C29" s="147">
        <f>IF(C36="","",C36+C32)</f>
        <v>14352098</v>
      </c>
      <c r="D29" s="147" t="str">
        <f>IF(D36="","",D36+D32)</f>
        <v/>
      </c>
      <c r="E29" s="147">
        <f t="shared" ref="E29:M29" si="21">IF(E36="","",E36+E32)</f>
        <v>12719058</v>
      </c>
      <c r="F29" s="147">
        <f t="shared" si="21"/>
        <v>12619153</v>
      </c>
      <c r="G29" s="147">
        <f t="shared" si="21"/>
        <v>10112586</v>
      </c>
      <c r="H29" s="147">
        <f t="shared" si="21"/>
        <v>9399613</v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106</v>
      </c>
      <c r="C30" s="147">
        <f>Fin_Analysis!C13</f>
        <v>649112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135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244</v>
      </c>
      <c r="C32" s="147">
        <f>Inputs!C37</f>
        <v>4197215</v>
      </c>
      <c r="D32" s="144" t="str">
        <f>IF(Inputs!D37="","",Inputs!D37)</f>
        <v/>
      </c>
      <c r="E32" s="144">
        <f>IF(Inputs!E37="","",Inputs!E37)</f>
        <v>1972480</v>
      </c>
      <c r="F32" s="144">
        <f>IF(Inputs!F37="","",Inputs!F37)</f>
        <v>699855</v>
      </c>
      <c r="G32" s="144">
        <f>IF(Inputs!G37="","",Inputs!G37)</f>
        <v>289962</v>
      </c>
      <c r="H32" s="144">
        <f>IF(Inputs!H37="","",Inputs!H37)</f>
        <v>404157</v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17</v>
      </c>
      <c r="C33" s="147">
        <f>Fin_Analysis!I15</f>
        <v>396970</v>
      </c>
      <c r="D33" s="144" t="str">
        <f>IF(Inputs!D39="","",Inputs!D39)</f>
        <v/>
      </c>
      <c r="E33" s="144">
        <f>IF(Inputs!E39="","",Inputs!E39)</f>
        <v>672819</v>
      </c>
      <c r="F33" s="144">
        <f>IF(Inputs!F39="","",Inputs!F39)</f>
        <v>128928</v>
      </c>
      <c r="G33" s="144">
        <f>IF(Inputs!G39="","",Inputs!G39)</f>
        <v>79063</v>
      </c>
      <c r="H33" s="144">
        <f>IF(Inputs!H39="","",Inputs!H39)</f>
        <v>103143</v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18</v>
      </c>
      <c r="C34" s="147">
        <f>Fin_Analysis!I34</f>
        <v>2844212</v>
      </c>
      <c r="D34" s="144" t="str">
        <f>IF(Inputs!D40="","",Inputs!D40)</f>
        <v/>
      </c>
      <c r="E34" s="144">
        <f>IF(Inputs!E40="","",Inputs!E40)</f>
        <v>1954184</v>
      </c>
      <c r="F34" s="144">
        <f>IF(Inputs!F40="","",Inputs!F40)</f>
        <v>1488416</v>
      </c>
      <c r="G34" s="144">
        <f>IF(Inputs!G40="","",Inputs!G40)</f>
        <v>848368</v>
      </c>
      <c r="H34" s="144">
        <f>IF(Inputs!H40="","",Inputs!H40)</f>
        <v>0</v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19</v>
      </c>
      <c r="C35" s="97">
        <f t="shared" ref="C35" si="22">IF(OR(C33="",C34=""),"",C33+C34)</f>
        <v>3241182</v>
      </c>
      <c r="D35" s="97" t="str">
        <f t="shared" ref="D35" si="23">IF(OR(D33="",D34=""),"",D33+D34)</f>
        <v/>
      </c>
      <c r="E35" s="97">
        <f t="shared" ref="E35" si="24">IF(OR(E33="",E34=""),"",E33+E34)</f>
        <v>2627003</v>
      </c>
      <c r="F35" s="97">
        <f t="shared" ref="F35" si="25">IF(OR(F33="",F34=""),"",F33+F34)</f>
        <v>1617344</v>
      </c>
      <c r="G35" s="97">
        <f t="shared" ref="G35" si="26">IF(OR(G33="",G34=""),"",G33+G34)</f>
        <v>927431</v>
      </c>
      <c r="H35" s="97">
        <f t="shared" ref="H35" si="27">IF(OR(H33="",H34=""),"",H33+H34)</f>
        <v>103143</v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126</v>
      </c>
      <c r="C36" s="147">
        <f>Inputs!C41</f>
        <v>10154883</v>
      </c>
      <c r="D36" s="144" t="str">
        <f>IF(Inputs!D41="","",Inputs!D41)</f>
        <v/>
      </c>
      <c r="E36" s="144">
        <f>IF(Inputs!E41="","",Inputs!E41)</f>
        <v>10746578</v>
      </c>
      <c r="F36" s="144">
        <f>IF(Inputs!F41="","",Inputs!F41)</f>
        <v>11919298</v>
      </c>
      <c r="G36" s="144">
        <f>IF(Inputs!G41="","",Inputs!G41)</f>
        <v>9822624</v>
      </c>
      <c r="H36" s="144">
        <f>IF(Inputs!H41="","",Inputs!H41)</f>
        <v>8995456</v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127</v>
      </c>
      <c r="C37" s="147">
        <f>Inputs!C42</f>
        <v>99525</v>
      </c>
      <c r="D37" s="144" t="str">
        <f>IF(Inputs!D42="","",Inputs!D42)</f>
        <v/>
      </c>
      <c r="E37" s="144">
        <f>IF(Inputs!E42="","",Inputs!E42)</f>
        <v>100450</v>
      </c>
      <c r="F37" s="144">
        <f>IF(Inputs!F42="","",Inputs!F42)</f>
        <v>147008</v>
      </c>
      <c r="G37" s="144">
        <f>IF(Inputs!G42="","",Inputs!G42)</f>
        <v>138319</v>
      </c>
      <c r="H37" s="144">
        <f>IF(Inputs!H42="","",Inputs!H42)</f>
        <v>29199</v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125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129</v>
      </c>
      <c r="C39" s="147">
        <f>Fin_Analysis!C68</f>
        <v>3874817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141</v>
      </c>
      <c r="C40" s="148">
        <f>IF(C6="","",C14/MAX(C39,0))</f>
        <v>-3.8453428897416318E-3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229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90</v>
      </c>
      <c r="C42" s="150">
        <f t="shared" ref="C42:M42" si="35">IF(C6="","",C8/C6)</f>
        <v>0.59283762583788169</v>
      </c>
      <c r="D42" s="150">
        <f t="shared" si="35"/>
        <v>0.33465932495691675</v>
      </c>
      <c r="E42" s="150">
        <f t="shared" si="35"/>
        <v>0.54210141828956737</v>
      </c>
      <c r="F42" s="150">
        <f t="shared" si="35"/>
        <v>0.75293190943169552</v>
      </c>
      <c r="G42" s="150">
        <f t="shared" si="35"/>
        <v>0.48901641289501657</v>
      </c>
      <c r="H42" s="150">
        <f t="shared" si="35"/>
        <v>0.90423111431393977</v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206</v>
      </c>
      <c r="C43" s="146">
        <f t="shared" ref="C43:M43" si="36">IF(C6="","",(C10+MAX(C11,0))/C6)</f>
        <v>0.33954325970765542</v>
      </c>
      <c r="D43" s="146">
        <f t="shared" si="36"/>
        <v>0.23663324809399122</v>
      </c>
      <c r="E43" s="146">
        <f t="shared" si="36"/>
        <v>0.28715070989790226</v>
      </c>
      <c r="F43" s="146">
        <f t="shared" si="36"/>
        <v>0.35555794824425446</v>
      </c>
      <c r="G43" s="146">
        <f t="shared" si="36"/>
        <v>0.5836386082996079</v>
      </c>
      <c r="H43" s="146">
        <f t="shared" si="36"/>
        <v>9.7940339892238604E-2</v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101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>
        <f t="shared" si="37"/>
        <v>0</v>
      </c>
      <c r="G44" s="146">
        <f t="shared" si="37"/>
        <v>0</v>
      </c>
      <c r="H44" s="146">
        <f t="shared" si="37"/>
        <v>0</v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111</v>
      </c>
      <c r="C45" s="146">
        <f t="shared" ref="C45:M45" si="38">IF(C6="","",MAX(C19,0)/C6)</f>
        <v>0.11962833256742103</v>
      </c>
      <c r="D45" s="146">
        <f t="shared" si="38"/>
        <v>6.3980137628929457E-2</v>
      </c>
      <c r="E45" s="146">
        <f t="shared" si="38"/>
        <v>6.2210101662634694E-2</v>
      </c>
      <c r="F45" s="146">
        <f t="shared" si="38"/>
        <v>0.10932572458327076</v>
      </c>
      <c r="G45" s="146">
        <f t="shared" si="38"/>
        <v>6.9069986442509418E-2</v>
      </c>
      <c r="H45" s="146">
        <f t="shared" si="38"/>
        <v>3.3997575607172003E-3</v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118</v>
      </c>
      <c r="C46" s="146">
        <f t="shared" ref="C46:M46" si="39">IF(C6="","",MAX(C12,0)/C6)</f>
        <v>8.4484276914648701E-2</v>
      </c>
      <c r="D46" s="146">
        <f t="shared" si="39"/>
        <v>0</v>
      </c>
      <c r="E46" s="146">
        <f t="shared" si="39"/>
        <v>0</v>
      </c>
      <c r="F46" s="146">
        <f t="shared" si="39"/>
        <v>0</v>
      </c>
      <c r="G46" s="146">
        <f t="shared" si="39"/>
        <v>0</v>
      </c>
      <c r="H46" s="146">
        <f t="shared" si="39"/>
        <v>0</v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208</v>
      </c>
      <c r="C47" s="146">
        <f t="shared" ref="C47:M47" si="40">IF(C6="","",ABS(MAX(C23,0)-MAX(C21,0))/C6)</f>
        <v>0</v>
      </c>
      <c r="D47" s="146">
        <f t="shared" si="40"/>
        <v>0</v>
      </c>
      <c r="E47" s="146">
        <f t="shared" si="40"/>
        <v>0</v>
      </c>
      <c r="F47" s="146">
        <f t="shared" si="40"/>
        <v>0</v>
      </c>
      <c r="G47" s="146">
        <f t="shared" si="40"/>
        <v>0</v>
      </c>
      <c r="H47" s="146">
        <f t="shared" si="40"/>
        <v>0</v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113</v>
      </c>
      <c r="C48" s="281">
        <f t="shared" ref="C48:M48" si="41">IF(C6="","",C24/C6)</f>
        <v>-0.1364934950276068</v>
      </c>
      <c r="D48" s="281">
        <f t="shared" si="41"/>
        <v>0.36472728932016257</v>
      </c>
      <c r="E48" s="281">
        <f t="shared" si="41"/>
        <v>0.1085377701498957</v>
      </c>
      <c r="F48" s="281">
        <f t="shared" si="41"/>
        <v>-0.21781558225922074</v>
      </c>
      <c r="G48" s="281">
        <f t="shared" si="41"/>
        <v>-0.14172500763713389</v>
      </c>
      <c r="H48" s="281">
        <f t="shared" si="41"/>
        <v>-5.5712117668955839E-3</v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230</v>
      </c>
      <c r="C49" s="151" t="s">
        <v>246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236</v>
      </c>
      <c r="C50" s="153">
        <f t="shared" ref="C50:M50" si="42">IF(C6="","",C6/C29)</f>
        <v>6.155741132759824E-2</v>
      </c>
      <c r="D50" s="153" t="e">
        <f t="shared" si="42"/>
        <v>#VALUE!</v>
      </c>
      <c r="E50" s="153">
        <f t="shared" si="42"/>
        <v>9.3955936044949243E-2</v>
      </c>
      <c r="F50" s="153">
        <f t="shared" si="42"/>
        <v>5.5935132888871385E-2</v>
      </c>
      <c r="G50" s="153">
        <f t="shared" si="42"/>
        <v>3.9168121784081737E-2</v>
      </c>
      <c r="H50" s="153">
        <f t="shared" si="42"/>
        <v>0.17833670386216965</v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237</v>
      </c>
      <c r="C51" s="146">
        <f t="shared" ref="C51:M51" si="43">IF(C30="","",C30/C6)</f>
        <v>0.73472344529235589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238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228</v>
      </c>
      <c r="C53" s="146" t="e">
        <f t="shared" ref="C53:M53" si="45">IF(D6="","",C18/(C6-D6))</f>
        <v>#VALUE!</v>
      </c>
      <c r="D53" s="146" t="e">
        <f t="shared" si="45"/>
        <v>#VALUE!</v>
      </c>
      <c r="E53" s="146" t="e">
        <f t="shared" si="45"/>
        <v>#VALUE!</v>
      </c>
      <c r="F53" s="146" t="e">
        <f t="shared" si="45"/>
        <v>#VALUE!</v>
      </c>
      <c r="G53" s="146" t="e">
        <f t="shared" si="45"/>
        <v>#VALUE!</v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231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232</v>
      </c>
      <c r="C55" s="150">
        <f t="shared" ref="C55:M55" si="46">IF(C36="","",(C36-C37)/C29)</f>
        <v>0.70061937982864941</v>
      </c>
      <c r="D55" s="150" t="str">
        <f t="shared" si="46"/>
        <v/>
      </c>
      <c r="E55" s="150">
        <f t="shared" si="46"/>
        <v>0.83702173541468239</v>
      </c>
      <c r="F55" s="150">
        <f t="shared" si="46"/>
        <v>0.93289066231307283</v>
      </c>
      <c r="G55" s="150">
        <f t="shared" si="46"/>
        <v>0.95764871616419378</v>
      </c>
      <c r="H55" s="150">
        <f t="shared" si="46"/>
        <v>0.95389639977731</v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110</v>
      </c>
      <c r="C56" s="154">
        <f t="shared" ref="C56:M56" si="47">IF(OR(C24="",C35=""),"",IF(C35&lt;=0,"-",C24/C35))</f>
        <v>-3.7205254132597308E-2</v>
      </c>
      <c r="D56" s="154" t="str">
        <f t="shared" si="47"/>
        <v/>
      </c>
      <c r="E56" s="154">
        <f t="shared" si="47"/>
        <v>4.9374134707878138E-2</v>
      </c>
      <c r="F56" s="154">
        <f t="shared" si="47"/>
        <v>-9.5060791025285904E-2</v>
      </c>
      <c r="G56" s="154">
        <f t="shared" si="47"/>
        <v>-6.0528492146585566E-2</v>
      </c>
      <c r="H56" s="154">
        <f t="shared" si="47"/>
        <v>-9.054419592216631E-2</v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112</v>
      </c>
      <c r="C57" s="146">
        <f t="shared" ref="C57:M57" si="48">IF(C24="","",IF(MAX(C19,0)&lt;=0,"-",C19/C24))</f>
        <v>-0.87643980794268139</v>
      </c>
      <c r="D57" s="146">
        <f t="shared" si="48"/>
        <v>0.17541911313569633</v>
      </c>
      <c r="E57" s="146">
        <f t="shared" si="48"/>
        <v>0.57316546651658362</v>
      </c>
      <c r="F57" s="146">
        <f t="shared" si="48"/>
        <v>-0.50191874910566781</v>
      </c>
      <c r="G57" s="146">
        <f t="shared" si="48"/>
        <v>-0.4873521447912213</v>
      </c>
      <c r="H57" s="146">
        <f t="shared" si="48"/>
        <v>-0.61023664203876216</v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250</v>
      </c>
      <c r="C58" s="146">
        <f>IF(C36="","",IF(Inputs!C38=0,0,Inputs!C38/C29))</f>
        <v>0</v>
      </c>
      <c r="D58" s="146" t="str">
        <f>IF(D36="","",IF(Inputs!D38=0,0,Inputs!D38/D29))</f>
        <v/>
      </c>
      <c r="E58" s="146">
        <f>IF(E36="","",IF(Inputs!E38=0,0,Inputs!E38/E29))</f>
        <v>0</v>
      </c>
      <c r="F58" s="146">
        <f>IF(F36="","",IF(Inputs!F38=0,0,Inputs!F38/F29))</f>
        <v>0</v>
      </c>
      <c r="G58" s="146">
        <f>IF(G36="","",IF(Inputs!G38=0,0,Inputs!G38/G29))</f>
        <v>0</v>
      </c>
      <c r="H58" s="146">
        <f>IF(H36="","",IF(Inputs!H38=0,0,Inputs!H38/H29))</f>
        <v>0</v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233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234</v>
      </c>
      <c r="C60" s="156">
        <f t="shared" ref="C60:M60" si="50">IF(C14="","",C14/(C36-C37))</f>
        <v>-1.4817970677921163E-3</v>
      </c>
      <c r="D60" s="156" t="e">
        <f t="shared" si="50"/>
        <v>#VALUE!</v>
      </c>
      <c r="E60" s="156">
        <f t="shared" si="50"/>
        <v>1.9166498843523203E-2</v>
      </c>
      <c r="F60" s="156">
        <f t="shared" si="50"/>
        <v>-6.5049365926255643E-3</v>
      </c>
      <c r="G60" s="156">
        <f t="shared" si="50"/>
        <v>-2.9716123149776882E-3</v>
      </c>
      <c r="H60" s="156">
        <f t="shared" si="50"/>
        <v>-4.0596650307926706E-4</v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235</v>
      </c>
      <c r="C61" s="156">
        <f t="shared" ref="C61:M61" si="51">IF(C24="","",C24/(C36-C37))</f>
        <v>-1.19925118528848E-2</v>
      </c>
      <c r="D61" s="156" t="e">
        <f t="shared" si="51"/>
        <v>#VALUE!</v>
      </c>
      <c r="E61" s="156">
        <f t="shared" si="51"/>
        <v>1.2183396630211472E-2</v>
      </c>
      <c r="F61" s="156">
        <f t="shared" si="51"/>
        <v>-1.3059990876881219E-2</v>
      </c>
      <c r="G61" s="156">
        <f t="shared" si="51"/>
        <v>-5.7965956256024569E-3</v>
      </c>
      <c r="H61" s="156">
        <f t="shared" si="51"/>
        <v>-1.0415717506201305E-3</v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262</v>
      </c>
      <c r="C2" s="158"/>
      <c r="D2" s="159"/>
      <c r="E2" s="3"/>
      <c r="F2" s="7"/>
      <c r="G2" s="7"/>
      <c r="H2" s="7"/>
      <c r="I2" s="3"/>
      <c r="K2" s="160" t="s">
        <v>8</v>
      </c>
    </row>
    <row r="3" spans="1:11" ht="15" customHeight="1" x14ac:dyDescent="0.35">
      <c r="B3" s="9" t="s">
        <v>20</v>
      </c>
      <c r="C3" s="3"/>
      <c r="D3" s="161">
        <f>Inputs!C41</f>
        <v>10154883</v>
      </c>
      <c r="E3" s="162" t="str">
        <f>IF((C49-I49)=D3,"", "Error!")</f>
        <v/>
      </c>
      <c r="F3" s="3"/>
      <c r="G3" s="3"/>
      <c r="H3" s="163" t="s">
        <v>21</v>
      </c>
      <c r="I3" s="164">
        <f>D3-D4</f>
        <v>10055358</v>
      </c>
      <c r="K3" s="75"/>
    </row>
    <row r="4" spans="1:11" ht="15" customHeight="1" x14ac:dyDescent="0.35">
      <c r="B4" s="9" t="s">
        <v>22</v>
      </c>
      <c r="C4" s="3"/>
      <c r="D4" s="144">
        <f>Inputs!C42</f>
        <v>99525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23</v>
      </c>
      <c r="H5" s="2" t="s">
        <v>24</v>
      </c>
      <c r="I5" s="168">
        <f>C28/I28</f>
        <v>3.901834045655773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69">
        <f>(E49-I49-E53)</f>
        <v>2681876.3000000007</v>
      </c>
      <c r="E6" s="170">
        <f>1-D6/D3</f>
        <v>0.73590278686618049</v>
      </c>
      <c r="F6" s="3"/>
      <c r="G6" s="3"/>
      <c r="H6" s="2" t="s">
        <v>25</v>
      </c>
      <c r="I6" s="168">
        <f>(C24+C25)/I28</f>
        <v>3.901834045655773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0.36808545385130298</v>
      </c>
      <c r="E7" s="167" t="str">
        <f>Dashboard!H3</f>
        <v>HKD</v>
      </c>
      <c r="H7" s="2" t="s">
        <v>26</v>
      </c>
      <c r="I7" s="168">
        <f>C24/I28</f>
        <v>3.7637452718842774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27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261</v>
      </c>
      <c r="C10" s="80" t="s">
        <v>28</v>
      </c>
      <c r="D10" s="80" t="s">
        <v>170</v>
      </c>
      <c r="E10" s="80" t="s">
        <v>29</v>
      </c>
      <c r="F10" s="85" t="s">
        <v>30</v>
      </c>
      <c r="G10" s="3"/>
      <c r="H10" s="83" t="s">
        <v>274</v>
      </c>
      <c r="I10" s="80" t="s">
        <v>28</v>
      </c>
      <c r="K10" s="75"/>
    </row>
    <row r="11" spans="1:11" ht="15" customHeight="1" x14ac:dyDescent="0.35">
      <c r="B11" s="9" t="s">
        <v>31</v>
      </c>
      <c r="C11" s="175">
        <f>Inputs!C48</f>
        <v>4022618</v>
      </c>
      <c r="D11" s="258">
        <f>Inputs!D48</f>
        <v>0.9</v>
      </c>
      <c r="E11" s="176">
        <f t="shared" ref="E11:E22" si="0">C11*D11</f>
        <v>3620356.2</v>
      </c>
      <c r="F11" s="260"/>
      <c r="G11" s="3"/>
      <c r="H11" s="9" t="s">
        <v>32</v>
      </c>
      <c r="I11" s="175">
        <f>Inputs!C73</f>
        <v>30697</v>
      </c>
      <c r="J11" s="3"/>
      <c r="K11" s="75"/>
    </row>
    <row r="12" spans="1:11" ht="11.65" x14ac:dyDescent="0.35">
      <c r="B12" s="2" t="s">
        <v>124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33</v>
      </c>
      <c r="I12" s="175">
        <f>Inputs!C74</f>
        <v>143877</v>
      </c>
      <c r="J12" s="3"/>
      <c r="K12" s="75"/>
    </row>
    <row r="13" spans="1:11" ht="11.65" x14ac:dyDescent="0.35">
      <c r="B13" s="9" t="s">
        <v>106</v>
      </c>
      <c r="C13" s="175">
        <f>Inputs!C50</f>
        <v>649112</v>
      </c>
      <c r="D13" s="258">
        <f>Inputs!D50</f>
        <v>0.6</v>
      </c>
      <c r="E13" s="176">
        <f t="shared" si="0"/>
        <v>389467.2</v>
      </c>
      <c r="F13" s="260"/>
      <c r="G13" s="3"/>
      <c r="H13" s="9" t="s">
        <v>34</v>
      </c>
      <c r="I13" s="175">
        <f>Inputs!C75</f>
        <v>0</v>
      </c>
      <c r="J13" s="3"/>
      <c r="K13" s="177"/>
    </row>
    <row r="14" spans="1:11" ht="11.65" x14ac:dyDescent="0.35">
      <c r="B14" s="9" t="s">
        <v>35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36</v>
      </c>
      <c r="I14" s="178">
        <f>Inputs!C76</f>
        <v>222396</v>
      </c>
      <c r="J14" s="3"/>
      <c r="K14" s="179"/>
    </row>
    <row r="15" spans="1:11" ht="11.65" x14ac:dyDescent="0.35">
      <c r="B15" s="9" t="s">
        <v>37</v>
      </c>
      <c r="C15" s="175">
        <f>Inputs!C52</f>
        <v>171402</v>
      </c>
      <c r="D15" s="258">
        <f>Inputs!D52</f>
        <v>0.5</v>
      </c>
      <c r="E15" s="176">
        <f t="shared" si="0"/>
        <v>85701</v>
      </c>
      <c r="F15" s="260"/>
      <c r="G15" s="3"/>
      <c r="H15" s="2" t="s">
        <v>47</v>
      </c>
      <c r="I15" s="180">
        <f>SUM(I11:I14)</f>
        <v>396970</v>
      </c>
      <c r="J15" s="3"/>
    </row>
    <row r="16" spans="1:11" ht="11.65" x14ac:dyDescent="0.35">
      <c r="B16" s="2" t="s">
        <v>142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107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40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41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109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43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44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38</v>
      </c>
      <c r="I22" s="182">
        <f>I28-SUM(I11:I14)</f>
        <v>844275</v>
      </c>
    </row>
    <row r="23" spans="2:10" ht="15" customHeight="1" x14ac:dyDescent="0.35">
      <c r="C23" s="3"/>
      <c r="D23" s="3"/>
      <c r="E23" s="3"/>
      <c r="F23" s="85" t="s">
        <v>45</v>
      </c>
      <c r="G23" s="3"/>
    </row>
    <row r="24" spans="2:10" ht="15" customHeight="1" x14ac:dyDescent="0.35">
      <c r="B24" s="183" t="s">
        <v>46</v>
      </c>
      <c r="C24" s="184">
        <f>SUM(C11:C14)</f>
        <v>4671730</v>
      </c>
      <c r="D24" s="185">
        <f>IF(E24=0,0,E24/C24)</f>
        <v>0.85831659791982851</v>
      </c>
      <c r="E24" s="176">
        <f>SUM(E11:E14)</f>
        <v>4009823.4000000004</v>
      </c>
      <c r="F24" s="186">
        <f>E24/$E$28</f>
        <v>0.97907447456545493</v>
      </c>
      <c r="G24" s="3"/>
    </row>
    <row r="25" spans="2:10" ht="15" customHeight="1" x14ac:dyDescent="0.35">
      <c r="B25" s="183" t="s">
        <v>48</v>
      </c>
      <c r="C25" s="184">
        <f>SUM(C15:C17)</f>
        <v>171402</v>
      </c>
      <c r="D25" s="185">
        <f>IF(E25=0,0,E25/C25)</f>
        <v>0.5</v>
      </c>
      <c r="E25" s="176">
        <f>SUM(E15:E17)</f>
        <v>85701</v>
      </c>
      <c r="F25" s="186">
        <f>E25/$E$28</f>
        <v>2.0925525434545084E-2</v>
      </c>
      <c r="G25" s="3"/>
      <c r="H25" s="183" t="s">
        <v>49</v>
      </c>
      <c r="I25" s="168">
        <f>E28/I28</f>
        <v>3.2995294240863009</v>
      </c>
    </row>
    <row r="26" spans="2:10" ht="15" customHeight="1" x14ac:dyDescent="0.35">
      <c r="B26" s="183" t="s">
        <v>50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>
        <f>E26/$E$28</f>
        <v>0</v>
      </c>
      <c r="G26" s="3"/>
      <c r="H26" s="183" t="s">
        <v>51</v>
      </c>
      <c r="I26" s="168">
        <f>E24/($I$28-I22)</f>
        <v>10.10107413658463</v>
      </c>
      <c r="J26" s="187" t="str">
        <f>IF(I26&lt;1,"Liquidity Problem!","")</f>
        <v/>
      </c>
    </row>
    <row r="27" spans="2:10" ht="15" customHeight="1" x14ac:dyDescent="0.35">
      <c r="B27" s="183" t="s">
        <v>52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>
        <f>E27/$E$28</f>
        <v>0</v>
      </c>
      <c r="G27" s="3"/>
      <c r="H27" s="183" t="s">
        <v>53</v>
      </c>
      <c r="I27" s="168">
        <f>(E25+E24)/$I$28</f>
        <v>3.2995294240863009</v>
      </c>
      <c r="J27" s="187" t="str">
        <f>IF(OR(I27&lt;0.75,C28&lt;I28),"Liquidity Issue!","")</f>
        <v/>
      </c>
    </row>
    <row r="28" spans="2:10" ht="15" customHeight="1" x14ac:dyDescent="0.35">
      <c r="B28" s="188" t="s">
        <v>15</v>
      </c>
      <c r="C28" s="189">
        <f>SUM(C11:C22)</f>
        <v>4843132</v>
      </c>
      <c r="D28" s="190">
        <f>E28/C28</f>
        <v>0.84563551024419747</v>
      </c>
      <c r="E28" s="191">
        <f>SUM(E24:E27)</f>
        <v>4095524.4000000004</v>
      </c>
      <c r="F28" s="87"/>
      <c r="G28" s="3"/>
      <c r="H28" s="188" t="s">
        <v>16</v>
      </c>
      <c r="I28" s="161">
        <f>Inputs!C77</f>
        <v>1241245</v>
      </c>
      <c r="J28" s="192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87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55</v>
      </c>
      <c r="I30" s="175">
        <f>Inputs!C78</f>
        <v>1075543</v>
      </c>
      <c r="J30" s="3"/>
    </row>
    <row r="31" spans="2:10" ht="15" customHeight="1" x14ac:dyDescent="0.35">
      <c r="B31" s="9" t="s">
        <v>56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57</v>
      </c>
      <c r="I31" s="175">
        <f>Inputs!C79</f>
        <v>1679438</v>
      </c>
      <c r="J31" s="3"/>
    </row>
    <row r="32" spans="2:10" ht="15" customHeight="1" x14ac:dyDescent="0.35">
      <c r="B32" s="9" t="s">
        <v>58</v>
      </c>
      <c r="C32" s="175">
        <f>Inputs!C62</f>
        <v>4626423</v>
      </c>
      <c r="D32" s="258">
        <f>Inputs!D62</f>
        <v>0.5</v>
      </c>
      <c r="E32" s="176">
        <f t="shared" si="1"/>
        <v>2313211.5</v>
      </c>
      <c r="F32" s="260"/>
      <c r="G32" s="3"/>
      <c r="H32" s="9" t="s">
        <v>59</v>
      </c>
      <c r="I32" s="175">
        <f>Inputs!C80</f>
        <v>0</v>
      </c>
      <c r="J32" s="3"/>
    </row>
    <row r="33" spans="2:10" ht="11.65" x14ac:dyDescent="0.35">
      <c r="B33" s="2" t="s">
        <v>143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60</v>
      </c>
      <c r="I33" s="178">
        <f>Inputs!C81</f>
        <v>89231</v>
      </c>
      <c r="J33" s="3"/>
    </row>
    <row r="34" spans="2:10" ht="11.65" x14ac:dyDescent="0.35">
      <c r="B34" s="9" t="s">
        <v>61</v>
      </c>
      <c r="C34" s="175">
        <f>Inputs!C64</f>
        <v>103165</v>
      </c>
      <c r="D34" s="258">
        <f>Inputs!D64</f>
        <v>0.4</v>
      </c>
      <c r="E34" s="176">
        <f t="shared" si="1"/>
        <v>41266</v>
      </c>
      <c r="F34" s="260"/>
      <c r="G34" s="3"/>
      <c r="H34" s="2" t="s">
        <v>71</v>
      </c>
      <c r="I34" s="180">
        <f>SUM(I30:I33)</f>
        <v>2844212</v>
      </c>
      <c r="J34" s="3"/>
    </row>
    <row r="35" spans="2:10" ht="11.65" x14ac:dyDescent="0.35">
      <c r="B35" s="9" t="s">
        <v>63</v>
      </c>
      <c r="C35" s="175">
        <f>Inputs!C65</f>
        <v>781196</v>
      </c>
      <c r="D35" s="258">
        <f>Inputs!D65</f>
        <v>0.1</v>
      </c>
      <c r="E35" s="176">
        <f t="shared" si="1"/>
        <v>78119.600000000006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65</v>
      </c>
      <c r="C36" s="175">
        <f>Inputs!C66</f>
        <v>875642</v>
      </c>
      <c r="D36" s="258">
        <f>Inputs!D66</f>
        <v>0.2</v>
      </c>
      <c r="E36" s="176">
        <f t="shared" si="1"/>
        <v>175128.40000000002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42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108</v>
      </c>
      <c r="C38" s="175">
        <f>Inputs!C68</f>
        <v>2545809</v>
      </c>
      <c r="D38" s="258">
        <f>Inputs!D68</f>
        <v>0.1</v>
      </c>
      <c r="E38" s="176">
        <f t="shared" si="1"/>
        <v>254580.90000000002</v>
      </c>
      <c r="F38" s="260"/>
      <c r="G38" s="3"/>
      <c r="H38" s="3"/>
      <c r="I38" s="3"/>
    </row>
    <row r="39" spans="2:10" ht="11.65" x14ac:dyDescent="0.35">
      <c r="B39" s="9" t="s">
        <v>66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67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68</v>
      </c>
      <c r="C41" s="175">
        <f>Inputs!C71</f>
        <v>23095</v>
      </c>
      <c r="D41" s="258">
        <f>Inputs!D71</f>
        <v>0.9</v>
      </c>
      <c r="E41" s="176">
        <f t="shared" si="1"/>
        <v>20785.5</v>
      </c>
      <c r="F41" s="260"/>
      <c r="G41" s="3"/>
      <c r="H41" s="3"/>
      <c r="I41" s="3"/>
    </row>
    <row r="42" spans="2:10" ht="15" customHeight="1" x14ac:dyDescent="0.35">
      <c r="B42" s="9" t="s">
        <v>69</v>
      </c>
      <c r="C42" s="175">
        <f>Inputs!C72</f>
        <v>553636</v>
      </c>
      <c r="D42" s="258">
        <f>Inputs!D72</f>
        <v>0</v>
      </c>
      <c r="E42" s="176">
        <f t="shared" si="1"/>
        <v>0</v>
      </c>
      <c r="F42" s="260"/>
      <c r="G42" s="3"/>
      <c r="H42" s="9" t="s">
        <v>62</v>
      </c>
      <c r="I42" s="182">
        <f>I48-SUM(I30:I33)</f>
        <v>111758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70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72</v>
      </c>
      <c r="C45" s="184">
        <f>SUM(C32:C35)</f>
        <v>5510784</v>
      </c>
      <c r="D45" s="185">
        <f>IF(E45=0,0,E45/C45)</f>
        <v>0.4414248680405547</v>
      </c>
      <c r="E45" s="176">
        <f>SUM(E32:E35)</f>
        <v>2432597.1</v>
      </c>
      <c r="F45" s="193"/>
      <c r="G45" s="3"/>
    </row>
    <row r="46" spans="2:10" ht="15" customHeight="1" x14ac:dyDescent="0.35">
      <c r="B46" s="183" t="s">
        <v>73</v>
      </c>
      <c r="C46" s="184">
        <f>C36+C37+C38+C39</f>
        <v>3421451</v>
      </c>
      <c r="D46" s="185">
        <f>IF(E46=0,0,E46/C46)</f>
        <v>0.12559270905823292</v>
      </c>
      <c r="E46" s="176">
        <f>E36+E37+E38+E39</f>
        <v>429709.30000000005</v>
      </c>
      <c r="F46" s="3"/>
      <c r="G46" s="3"/>
      <c r="H46" s="183" t="s">
        <v>74</v>
      </c>
      <c r="I46" s="168">
        <f>(E44+E24)/E64</f>
        <v>1.2371484847194636</v>
      </c>
      <c r="J46" s="187" t="str">
        <f>IF(I46&lt;1,"Liquidity Problem!","")</f>
        <v/>
      </c>
    </row>
    <row r="47" spans="2:10" ht="15" customHeight="1" x14ac:dyDescent="0.35">
      <c r="B47" s="183" t="s">
        <v>75</v>
      </c>
      <c r="C47" s="184">
        <f>C40+C41+C42</f>
        <v>576731</v>
      </c>
      <c r="D47" s="185">
        <f>IF(E47=0,0,E47/C47)</f>
        <v>3.6040198983581601E-2</v>
      </c>
      <c r="E47" s="176">
        <f>E40+E41+E42</f>
        <v>20785.5</v>
      </c>
      <c r="F47" s="3"/>
      <c r="G47" s="3"/>
      <c r="H47" s="183" t="s">
        <v>76</v>
      </c>
      <c r="I47" s="168">
        <f>(E44+E45+E24+E25)/$I$49</f>
        <v>1.5553459853736347</v>
      </c>
      <c r="J47" s="187" t="str">
        <f>IF(OR(I47&lt;0.5,C49&lt;I49),"Liquidity Issue!","")</f>
        <v/>
      </c>
    </row>
    <row r="48" spans="2:10" ht="15" customHeight="1" thickBot="1" x14ac:dyDescent="0.4">
      <c r="B48" s="91" t="s">
        <v>77</v>
      </c>
      <c r="C48" s="194">
        <f>SUM(C30:C42)</f>
        <v>9508966</v>
      </c>
      <c r="D48" s="195">
        <f>E48/C48</f>
        <v>0.30319720356556118</v>
      </c>
      <c r="E48" s="196">
        <f>SUM(E30:E42)</f>
        <v>2883091.9</v>
      </c>
      <c r="F48" s="3"/>
      <c r="G48" s="3"/>
      <c r="H48" s="91" t="s">
        <v>78</v>
      </c>
      <c r="I48" s="197">
        <f>I49-I28</f>
        <v>2955970</v>
      </c>
      <c r="J48" s="187"/>
    </row>
    <row r="49" spans="2:11" ht="15" customHeight="1" thickTop="1" x14ac:dyDescent="0.35">
      <c r="B49" s="9" t="s">
        <v>14</v>
      </c>
      <c r="C49" s="184">
        <f>Inputs!C41+Inputs!C37</f>
        <v>14352098</v>
      </c>
      <c r="D49" s="170">
        <f>E49/C49</f>
        <v>0.48624363490271599</v>
      </c>
      <c r="E49" s="176">
        <f>E28+E48</f>
        <v>6978616.3000000007</v>
      </c>
      <c r="F49" s="3"/>
      <c r="G49" s="3"/>
      <c r="H49" s="9" t="s">
        <v>79</v>
      </c>
      <c r="I49" s="175">
        <f>Inputs!C37</f>
        <v>4197215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260</v>
      </c>
      <c r="C51" s="285"/>
      <c r="D51" s="285"/>
    </row>
    <row r="52" spans="2:11" ht="11.65" x14ac:dyDescent="0.35">
      <c r="B52" s="198" t="s">
        <v>80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8</v>
      </c>
    </row>
    <row r="53" spans="2:11" ht="11.65" x14ac:dyDescent="0.35">
      <c r="B53" s="9" t="s">
        <v>81</v>
      </c>
      <c r="C53" s="176">
        <f>MAX(D4,0)</f>
        <v>99525</v>
      </c>
      <c r="D53" s="34">
        <f>IF(E53=0, 0,E53/C53)</f>
        <v>1</v>
      </c>
      <c r="E53" s="176">
        <f>IF(C53=0,0,MAX(C53,C53*Dashboard!G23))</f>
        <v>99525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136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82</v>
      </c>
      <c r="C56" s="3"/>
      <c r="D56" s="323">
        <f>I15+I34</f>
        <v>3241182</v>
      </c>
      <c r="E56" s="317"/>
      <c r="F56" s="9"/>
      <c r="G56" s="9"/>
      <c r="I56" s="170"/>
      <c r="K56" s="172"/>
    </row>
    <row r="57" spans="2:11" ht="11.65" x14ac:dyDescent="0.35">
      <c r="B57" s="56" t="s">
        <v>83</v>
      </c>
      <c r="C57" s="3"/>
      <c r="D57" s="318">
        <f>Inputs!C84</f>
        <v>0</v>
      </c>
      <c r="E57" s="317"/>
      <c r="G57" s="3"/>
      <c r="I57" s="3"/>
      <c r="K57" s="172" t="s">
        <v>84</v>
      </c>
    </row>
    <row r="58" spans="2:11" ht="12.75" customHeight="1" x14ac:dyDescent="0.35">
      <c r="B58" s="56" t="s">
        <v>85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139</v>
      </c>
      <c r="C60" s="9"/>
      <c r="D60" s="200" t="s">
        <v>86</v>
      </c>
      <c r="E60" s="3"/>
      <c r="F60" s="201"/>
      <c r="G60" s="201"/>
      <c r="H60" s="83" t="s">
        <v>253</v>
      </c>
      <c r="I60" s="83"/>
      <c r="K60" s="172"/>
    </row>
    <row r="61" spans="2:11" ht="15" customHeight="1" x14ac:dyDescent="0.35">
      <c r="B61" s="57" t="s">
        <v>87</v>
      </c>
      <c r="C61" s="202">
        <f>C14+C15+(C19*G19)+(C20*G20)+C31+C32+(C35*G35)+(C36*G36)+(C37*G37)</f>
        <v>6454663</v>
      </c>
      <c r="D61" s="170">
        <f t="shared" ref="D61:D70" si="2">IF(E61=0,0,E61/C61)</f>
        <v>0.41089062279471444</v>
      </c>
      <c r="E61" s="182">
        <f>E14+E15+(E19*G19)+(E20*G20)+E31+E32+(E35*G35)+(E36*G36)+(E37*G37)</f>
        <v>2652160.5</v>
      </c>
      <c r="F61" s="3"/>
      <c r="G61" s="3"/>
      <c r="H61" s="2" t="s">
        <v>254</v>
      </c>
      <c r="I61" s="203">
        <f>C99*Data!$C$4/Common_Shares</f>
        <v>0.38174518334537061</v>
      </c>
      <c r="K61" s="172"/>
    </row>
    <row r="62" spans="2:11" ht="11.65" x14ac:dyDescent="0.35">
      <c r="B62" s="12" t="s">
        <v>128</v>
      </c>
      <c r="C62" s="204">
        <f>C11+C30</f>
        <v>4022618</v>
      </c>
      <c r="D62" s="205">
        <f t="shared" si="2"/>
        <v>0.9</v>
      </c>
      <c r="E62" s="206">
        <f>E11+E30</f>
        <v>3620356.2</v>
      </c>
      <c r="F62" s="3"/>
      <c r="G62" s="3"/>
      <c r="H62" s="2" t="s">
        <v>276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130</v>
      </c>
      <c r="C63" s="202">
        <f>C61+C62</f>
        <v>10477281</v>
      </c>
      <c r="D63" s="34">
        <f t="shared" si="2"/>
        <v>0.59867791080529387</v>
      </c>
      <c r="E63" s="184">
        <f>E61+E62</f>
        <v>6272516.7000000002</v>
      </c>
      <c r="F63" s="3"/>
      <c r="G63" s="3"/>
      <c r="H63" s="2" t="s">
        <v>255</v>
      </c>
      <c r="I63" s="207">
        <f>IF(I61&gt;0,FV(I62,D93,0,-I61),I61)</f>
        <v>0.41014301142899728</v>
      </c>
      <c r="K63" s="172"/>
    </row>
    <row r="64" spans="2:11" ht="12" thickBot="1" x14ac:dyDescent="0.4">
      <c r="B64" s="208" t="s">
        <v>137</v>
      </c>
      <c r="C64" s="209"/>
      <c r="D64" s="209"/>
      <c r="E64" s="169">
        <f>D56+D57+D58</f>
        <v>3241182</v>
      </c>
      <c r="F64" s="3"/>
      <c r="G64" s="3"/>
      <c r="H64" s="2" t="s">
        <v>256</v>
      </c>
      <c r="I64" s="207">
        <f>IF(I61&gt;0,PV(C94,D93,0,-I63),I61)</f>
        <v>0.23450059794182979</v>
      </c>
      <c r="K64" s="172"/>
    </row>
    <row r="65" spans="1:11" ht="12" thickTop="1" x14ac:dyDescent="0.35">
      <c r="B65" s="9" t="s">
        <v>131</v>
      </c>
      <c r="C65" s="202">
        <f>C63-E64</f>
        <v>7236099</v>
      </c>
      <c r="D65" s="34">
        <f t="shared" si="2"/>
        <v>0.41891835642381348</v>
      </c>
      <c r="E65" s="184">
        <f>E63-E64</f>
        <v>3031334.7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140</v>
      </c>
      <c r="C67" s="9"/>
      <c r="D67" s="200" t="s">
        <v>86</v>
      </c>
      <c r="E67" s="184"/>
      <c r="F67" s="3"/>
      <c r="G67" s="3"/>
      <c r="I67" s="3"/>
      <c r="K67" s="172"/>
    </row>
    <row r="68" spans="1:11" ht="11.65" x14ac:dyDescent="0.35">
      <c r="B68" s="57" t="s">
        <v>129</v>
      </c>
      <c r="C68" s="202">
        <f>C49-C63</f>
        <v>3874817</v>
      </c>
      <c r="D68" s="34">
        <f t="shared" si="2"/>
        <v>0.18222785747043035</v>
      </c>
      <c r="E68" s="202">
        <f>E49-E63</f>
        <v>706099.60000000056</v>
      </c>
      <c r="F68" s="3"/>
      <c r="G68" s="3"/>
      <c r="I68" s="3"/>
      <c r="K68" s="172"/>
    </row>
    <row r="69" spans="1:11" ht="12" thickBot="1" x14ac:dyDescent="0.4">
      <c r="B69" s="208" t="s">
        <v>138</v>
      </c>
      <c r="C69" s="209"/>
      <c r="D69" s="209"/>
      <c r="E69" s="210">
        <f>I49-E64</f>
        <v>956033</v>
      </c>
      <c r="F69" s="3"/>
      <c r="G69" s="3"/>
      <c r="I69" s="3"/>
      <c r="K69" s="172"/>
    </row>
    <row r="70" spans="1:11" ht="12" thickTop="1" x14ac:dyDescent="0.35">
      <c r="B70" s="57" t="s">
        <v>132</v>
      </c>
      <c r="C70" s="202">
        <f>C68-E69</f>
        <v>2918784</v>
      </c>
      <c r="D70" s="34">
        <f t="shared" si="2"/>
        <v>-8.5629289457527333E-2</v>
      </c>
      <c r="E70" s="202">
        <f>E68-E69</f>
        <v>-249933.39999999944</v>
      </c>
      <c r="F70" s="3"/>
      <c r="G70" s="3"/>
      <c r="I70" s="3"/>
      <c r="K70" s="172"/>
    </row>
    <row r="72" spans="1:11" ht="15" customHeight="1" x14ac:dyDescent="0.35">
      <c r="A72" s="4"/>
      <c r="B72" s="94" t="s">
        <v>116</v>
      </c>
      <c r="C72" s="310">
        <f>Data!C5</f>
        <v>45291</v>
      </c>
      <c r="D72" s="310"/>
      <c r="E72" s="324" t="s">
        <v>180</v>
      </c>
      <c r="F72" s="324"/>
      <c r="H72" s="324" t="s">
        <v>179</v>
      </c>
      <c r="I72" s="324"/>
      <c r="K72" s="160" t="s">
        <v>8</v>
      </c>
    </row>
    <row r="73" spans="1:11" ht="15" customHeight="1" x14ac:dyDescent="0.35">
      <c r="B73" s="96" t="str">
        <f>"(Numbers in "&amp;Data!C4&amp;Dashboard!G6&amp;")"</f>
        <v>(Numbers in 1000HKD)</v>
      </c>
      <c r="C73" s="311" t="s">
        <v>93</v>
      </c>
      <c r="D73" s="311"/>
      <c r="E73" s="325" t="s">
        <v>94</v>
      </c>
      <c r="F73" s="311"/>
      <c r="H73" s="325" t="s">
        <v>94</v>
      </c>
      <c r="I73" s="311"/>
      <c r="K73" s="75"/>
    </row>
    <row r="74" spans="1:11" ht="15" customHeight="1" x14ac:dyDescent="0.35">
      <c r="B74" s="9" t="s">
        <v>115</v>
      </c>
      <c r="C74" s="97">
        <f>Data!C6</f>
        <v>883478</v>
      </c>
      <c r="D74" s="98"/>
      <c r="E74" s="256">
        <f>Inputs!E91</f>
        <v>883478</v>
      </c>
      <c r="F74" s="98"/>
      <c r="H74" s="256">
        <f>Inputs!F91</f>
        <v>883478</v>
      </c>
      <c r="I74" s="98"/>
      <c r="K74" s="75"/>
    </row>
    <row r="75" spans="1:11" ht="15" customHeight="1" x14ac:dyDescent="0.35">
      <c r="B75" s="100" t="s">
        <v>98</v>
      </c>
      <c r="C75" s="97">
        <f>Data!C8</f>
        <v>523759</v>
      </c>
      <c r="D75" s="101">
        <f>C75/$C$74</f>
        <v>0.59283762583788169</v>
      </c>
      <c r="E75" s="256">
        <f>Inputs!E92</f>
        <v>523759.00000000006</v>
      </c>
      <c r="F75" s="211">
        <f>E75/E74</f>
        <v>0.59283762583788169</v>
      </c>
      <c r="H75" s="256">
        <f>Inputs!F92</f>
        <v>523759.00000000006</v>
      </c>
      <c r="I75" s="211">
        <f>H75/$H$74</f>
        <v>0.59283762583788169</v>
      </c>
      <c r="K75" s="75"/>
    </row>
    <row r="76" spans="1:11" ht="15" customHeight="1" x14ac:dyDescent="0.35">
      <c r="B76" s="12" t="s">
        <v>88</v>
      </c>
      <c r="C76" s="145">
        <f>C74-C75</f>
        <v>359719</v>
      </c>
      <c r="D76" s="212"/>
      <c r="E76" s="213">
        <f>E74-E75</f>
        <v>359718.99999999994</v>
      </c>
      <c r="F76" s="212"/>
      <c r="H76" s="213">
        <f>H74-H75</f>
        <v>359718.99999999994</v>
      </c>
      <c r="I76" s="212"/>
      <c r="K76" s="75"/>
    </row>
    <row r="77" spans="1:11" ht="15" customHeight="1" x14ac:dyDescent="0.35">
      <c r="B77" s="100" t="s">
        <v>217</v>
      </c>
      <c r="C77" s="97">
        <f>Data!C10+MAX(Data!C11,0)</f>
        <v>299979</v>
      </c>
      <c r="D77" s="101">
        <f>C77/$C$74</f>
        <v>0.33954325970765542</v>
      </c>
      <c r="E77" s="256">
        <f>Inputs!E93</f>
        <v>299979</v>
      </c>
      <c r="F77" s="211">
        <f>E77/E74</f>
        <v>0.33954325970765542</v>
      </c>
      <c r="H77" s="256">
        <f>Inputs!F93</f>
        <v>299979</v>
      </c>
      <c r="I77" s="211">
        <f>H77/$H$74</f>
        <v>0.33954325970765542</v>
      </c>
      <c r="K77" s="75"/>
    </row>
    <row r="78" spans="1:11" ht="15" customHeight="1" x14ac:dyDescent="0.35">
      <c r="B78" s="93" t="s">
        <v>151</v>
      </c>
      <c r="C78" s="97">
        <f>MAX(Data!C12,0)</f>
        <v>74640</v>
      </c>
      <c r="D78" s="101">
        <f>C78/$C$74</f>
        <v>8.4484276914648701E-2</v>
      </c>
      <c r="E78" s="214">
        <f>E74*F78</f>
        <v>74640</v>
      </c>
      <c r="F78" s="211">
        <f>I78</f>
        <v>8.4484276914648701E-2</v>
      </c>
      <c r="H78" s="256">
        <f>Inputs!F97</f>
        <v>74640</v>
      </c>
      <c r="I78" s="211">
        <f>H78/$H$74</f>
        <v>8.4484276914648701E-2</v>
      </c>
      <c r="K78" s="75"/>
    </row>
    <row r="79" spans="1:11" ht="15" customHeight="1" x14ac:dyDescent="0.35">
      <c r="B79" s="215" t="s">
        <v>204</v>
      </c>
      <c r="C79" s="216">
        <f>C76-C77-C78</f>
        <v>-14900</v>
      </c>
      <c r="D79" s="217">
        <f>C79/C74</f>
        <v>-1.6865162460185767E-2</v>
      </c>
      <c r="E79" s="218">
        <f>E76-E77-E78</f>
        <v>-14900.000000000058</v>
      </c>
      <c r="F79" s="217">
        <f>E79/E74</f>
        <v>-1.6865162460185833E-2</v>
      </c>
      <c r="G79" s="219"/>
      <c r="H79" s="218">
        <f>H76-H77-H78</f>
        <v>-14900.000000000058</v>
      </c>
      <c r="I79" s="217">
        <f>H79/H74</f>
        <v>-1.6865162460185833E-2</v>
      </c>
      <c r="K79" s="75"/>
    </row>
    <row r="80" spans="1:11" ht="15" customHeight="1" x14ac:dyDescent="0.35">
      <c r="B80" s="18" t="s">
        <v>102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120</v>
      </c>
    </row>
    <row r="81" spans="1:11" ht="15" customHeight="1" x14ac:dyDescent="0.35">
      <c r="B81" s="100" t="s">
        <v>223</v>
      </c>
      <c r="C81" s="97">
        <f>MAX(Data!C19,0)</f>
        <v>105689</v>
      </c>
      <c r="D81" s="101">
        <f>C81/$C$74</f>
        <v>0.11962833256742103</v>
      </c>
      <c r="E81" s="214">
        <f>E74*F81</f>
        <v>105689</v>
      </c>
      <c r="F81" s="211">
        <f>I81</f>
        <v>0.11962833256742103</v>
      </c>
      <c r="H81" s="256">
        <f>Inputs!F94</f>
        <v>105689</v>
      </c>
      <c r="I81" s="211">
        <f>H81/$H$74</f>
        <v>0.11962833256742103</v>
      </c>
      <c r="K81" s="75"/>
    </row>
    <row r="82" spans="1:11" ht="15" customHeight="1" x14ac:dyDescent="0.35">
      <c r="B82" s="18" t="s">
        <v>216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114</v>
      </c>
      <c r="C83" s="222">
        <f>C79-C81-C82-C80</f>
        <v>-120589</v>
      </c>
      <c r="D83" s="223">
        <f>C83/$C$74</f>
        <v>-0.1364934950276068</v>
      </c>
      <c r="E83" s="224">
        <f>E79-E81-E82-E80</f>
        <v>-120589.00000000006</v>
      </c>
      <c r="F83" s="223">
        <f>E83/E74</f>
        <v>-0.13649349502760685</v>
      </c>
      <c r="H83" s="224">
        <f>H79-H81-H82-H80</f>
        <v>-120589.00000000006</v>
      </c>
      <c r="I83" s="223">
        <f>H83/$H$74</f>
        <v>-0.13649349502760685</v>
      </c>
      <c r="K83" s="75"/>
    </row>
    <row r="84" spans="1:11" ht="15" customHeight="1" thickTop="1" x14ac:dyDescent="0.35">
      <c r="B84" s="18" t="s">
        <v>89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147</v>
      </c>
      <c r="C85" s="216">
        <f>C83*(1-I84)</f>
        <v>-90441.75</v>
      </c>
      <c r="D85" s="217">
        <f>C85/$C$74</f>
        <v>-0.10237012127070511</v>
      </c>
      <c r="E85" s="229">
        <f>E83*(1-F84)</f>
        <v>-90441.750000000044</v>
      </c>
      <c r="F85" s="217">
        <f>E85/E74</f>
        <v>-0.10237012127070515</v>
      </c>
      <c r="G85" s="219"/>
      <c r="H85" s="229">
        <f>H83*(1-I84)</f>
        <v>-90441.750000000044</v>
      </c>
      <c r="I85" s="217">
        <f>H85/$H$74</f>
        <v>-0.10237012127070515</v>
      </c>
      <c r="K85" s="75"/>
    </row>
    <row r="86" spans="1:11" ht="15" customHeight="1" x14ac:dyDescent="0.35">
      <c r="B86" s="3" t="s">
        <v>144</v>
      </c>
      <c r="C86" s="230">
        <f>C85*Data!C4/Common_Shares</f>
        <v>-1.2413060436775578E-2</v>
      </c>
      <c r="D86" s="98"/>
      <c r="E86" s="231">
        <f>E85*Data!C4/Common_Shares</f>
        <v>-1.2413060436775583E-2</v>
      </c>
      <c r="F86" s="98"/>
      <c r="H86" s="231">
        <f>H85*Data!C4/Common_Shares</f>
        <v>-1.2413060436775583E-2</v>
      </c>
      <c r="I86" s="98"/>
      <c r="K86" s="75"/>
    </row>
    <row r="87" spans="1:11" ht="15" customHeight="1" x14ac:dyDescent="0.35">
      <c r="B87" s="3" t="s">
        <v>182</v>
      </c>
      <c r="C87" s="232">
        <f>C86*Exchange_Rate/Dashboard!G3</f>
        <v>-1.2538444885631897E-2</v>
      </c>
      <c r="D87" s="98"/>
      <c r="E87" s="233">
        <f>E86*Exchange_Rate/Dashboard!G3</f>
        <v>-1.2538444885631902E-2</v>
      </c>
      <c r="F87" s="98"/>
      <c r="H87" s="233">
        <f>H86*Exchange_Rate/Dashboard!G3</f>
        <v>-1.2538444885631902E-2</v>
      </c>
      <c r="I87" s="98"/>
      <c r="K87" s="75"/>
    </row>
    <row r="88" spans="1:11" ht="15" customHeight="1" x14ac:dyDescent="0.35">
      <c r="B88" s="8" t="s">
        <v>181</v>
      </c>
      <c r="C88" s="234">
        <f>Inputs!C44</f>
        <v>5.4800000000000001E-2</v>
      </c>
      <c r="D88" s="235">
        <f>C88/C86</f>
        <v>-4.4147050019708818</v>
      </c>
      <c r="E88" s="255">
        <f>Inputs!E98</f>
        <v>5.4800000000000001E-2</v>
      </c>
      <c r="F88" s="235">
        <f>E88/E86</f>
        <v>-4.41470500197088</v>
      </c>
      <c r="H88" s="255">
        <f>Inputs!F98</f>
        <v>5.4800000000000001E-2</v>
      </c>
      <c r="I88" s="235">
        <f>H88/H86</f>
        <v>-4.41470500197088</v>
      </c>
      <c r="K88" s="75"/>
    </row>
    <row r="89" spans="1:11" ht="15" customHeight="1" x14ac:dyDescent="0.35">
      <c r="B89" s="3" t="s">
        <v>194</v>
      </c>
      <c r="C89" s="232">
        <f>C88*Exchange_Rate/Dashboard!G3</f>
        <v>5.5353535353535356E-2</v>
      </c>
      <c r="D89" s="98"/>
      <c r="E89" s="232">
        <f>E88*Exchange_Rate/Dashboard!G3</f>
        <v>5.5353535353535356E-2</v>
      </c>
      <c r="F89" s="98"/>
      <c r="H89" s="232">
        <f>H88*Exchange_Rate/Dashboard!G3</f>
        <v>5.5353535353535356E-2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121</v>
      </c>
    </row>
    <row r="92" spans="1:11" ht="15" customHeight="1" x14ac:dyDescent="0.35">
      <c r="B92" s="83" t="s">
        <v>270</v>
      </c>
      <c r="C92" s="258" t="str">
        <f>Inputs!C15</f>
        <v>CN</v>
      </c>
      <c r="D92" s="83" t="s">
        <v>271</v>
      </c>
      <c r="E92" s="324" t="s">
        <v>180</v>
      </c>
      <c r="F92" s="324"/>
      <c r="G92" s="3"/>
      <c r="H92" s="324" t="s">
        <v>179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183</v>
      </c>
      <c r="F93" s="237">
        <f>FV(E87,D93,0,-(E86/(C93-D94)))*Exchange_Rate</f>
        <v>-0.19670183182413661</v>
      </c>
      <c r="H93" s="3" t="s">
        <v>183</v>
      </c>
      <c r="I93" s="237">
        <f>FV(H87,D93,0,-(H86/(C93-D94)))*Exchange_Rate</f>
        <v>-0.19670183182413661</v>
      </c>
      <c r="K93" s="75"/>
    </row>
    <row r="94" spans="1:11" ht="15" customHeight="1" x14ac:dyDescent="0.35">
      <c r="B94" s="2" t="s">
        <v>185</v>
      </c>
      <c r="C94" s="238">
        <f>Dashboard!G20</f>
        <v>0.15</v>
      </c>
      <c r="D94" s="254">
        <f>Inputs!D87</f>
        <v>0.02</v>
      </c>
      <c r="E94" s="3" t="s">
        <v>184</v>
      </c>
      <c r="F94" s="237">
        <f>FV(E89,D93,0,-(E88/(C93-D94)))*Exchange_Rate</f>
        <v>1.132977239686334</v>
      </c>
      <c r="H94" s="3" t="s">
        <v>184</v>
      </c>
      <c r="I94" s="237">
        <f>FV(H89,D93,0,-(H88/(C93-D94)))*Exchange_Rate</f>
        <v>1.132977239686334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187</v>
      </c>
      <c r="E96" s="241" t="str">
        <f>E72</f>
        <v>Pessimistic Case</v>
      </c>
      <c r="F96" s="242" t="s">
        <v>209</v>
      </c>
      <c r="H96" s="241" t="str">
        <f>H72</f>
        <v>Base Case</v>
      </c>
      <c r="I96" s="240" t="s">
        <v>105</v>
      </c>
      <c r="K96" s="75"/>
    </row>
    <row r="97" spans="2:11" ht="15" customHeight="1" x14ac:dyDescent="0.35">
      <c r="B97" s="2" t="s">
        <v>119</v>
      </c>
      <c r="C97" s="243">
        <f>H97*Common_Shares/Data!C4</f>
        <v>-819421.07625226781</v>
      </c>
      <c r="D97" s="244"/>
      <c r="E97" s="245">
        <f>PV(C94,D93,0,-F93)</f>
        <v>-0.11246491075954512</v>
      </c>
      <c r="F97" s="244"/>
      <c r="H97" s="245">
        <f>PV(C94,D93,0,-I93)</f>
        <v>-0.11246491075954512</v>
      </c>
      <c r="I97" s="245">
        <f>PV(C93,D93,0,-I93)</f>
        <v>-0.14458171849048784</v>
      </c>
      <c r="K97" s="75"/>
    </row>
    <row r="98" spans="2:11" ht="15" customHeight="1" x14ac:dyDescent="0.35">
      <c r="B98" s="18" t="s">
        <v>133</v>
      </c>
      <c r="C98" s="243">
        <f>-E53*Exchange_Rate</f>
        <v>-99525</v>
      </c>
      <c r="D98" s="244"/>
      <c r="E98" s="244"/>
      <c r="F98" s="244"/>
      <c r="H98" s="245">
        <f>C98*Data!$C$4/Common_Shares</f>
        <v>-1.365972949406761E-2</v>
      </c>
      <c r="I98" s="246"/>
      <c r="K98" s="75"/>
    </row>
    <row r="99" spans="2:11" ht="15" customHeight="1" thickBot="1" x14ac:dyDescent="0.4">
      <c r="B99" s="221" t="s">
        <v>134</v>
      </c>
      <c r="C99" s="247">
        <f>(E65+IF(E70&lt;0,E70,0))*Exchange_Rate</f>
        <v>2781401.3000000007</v>
      </c>
      <c r="D99" s="248"/>
      <c r="E99" s="249">
        <f>IF(H99&gt;0,I64,H99)</f>
        <v>0.23450059794182979</v>
      </c>
      <c r="F99" s="248"/>
      <c r="H99" s="249">
        <f>I64</f>
        <v>0.23450059794182979</v>
      </c>
      <c r="I99" s="250"/>
      <c r="K99" s="75"/>
    </row>
    <row r="100" spans="2:11" ht="15" customHeight="1" thickTop="1" x14ac:dyDescent="0.35">
      <c r="B100" s="2" t="s">
        <v>105</v>
      </c>
      <c r="C100" s="243"/>
      <c r="D100" s="251">
        <f>MIN(F100*(1-C94),E100)</f>
        <v>9.2119564034984502E-2</v>
      </c>
      <c r="E100" s="251">
        <f>MAX(E97+H98+E99,0)</f>
        <v>0.10837595768821706</v>
      </c>
      <c r="F100" s="251">
        <f>(E100+H100)/2</f>
        <v>0.10837595768821706</v>
      </c>
      <c r="H100" s="251">
        <f>MAX(H97+H98+H99,0)</f>
        <v>0.10837595768821706</v>
      </c>
      <c r="I100" s="251">
        <f>MAX(I97+H98+H99,0)</f>
        <v>7.6259149957274341E-2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272</v>
      </c>
      <c r="C102" s="239"/>
      <c r="D102" s="240" t="s">
        <v>187</v>
      </c>
      <c r="E102" s="241" t="str">
        <f>E96</f>
        <v>Pessimistic Case</v>
      </c>
      <c r="F102" s="242" t="s">
        <v>209</v>
      </c>
      <c r="H102" s="241" t="str">
        <f>H96</f>
        <v>Base Case</v>
      </c>
      <c r="I102" s="240" t="s">
        <v>105</v>
      </c>
      <c r="K102" s="75"/>
    </row>
    <row r="103" spans="2:11" ht="15" customHeight="1" x14ac:dyDescent="0.35">
      <c r="B103" s="2" t="s">
        <v>145</v>
      </c>
      <c r="C103" s="243"/>
      <c r="D103" s="251">
        <f>MIN(F103*(1-C94),E103)</f>
        <v>0.55061590187764287</v>
      </c>
      <c r="E103" s="245">
        <f>PV(C94,D93,0,-F94)</f>
        <v>0.64778341397369754</v>
      </c>
      <c r="F103" s="251">
        <f>(E103+H103)/2</f>
        <v>0.64778341397369754</v>
      </c>
      <c r="H103" s="245">
        <f>PV(C94,D93,0,-I94)</f>
        <v>0.64778341397369754</v>
      </c>
      <c r="I103" s="251">
        <f>PV(C93,D93,0,-I94)</f>
        <v>0.83277209370837801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171</v>
      </c>
      <c r="C105" s="239"/>
      <c r="D105" s="240" t="s">
        <v>187</v>
      </c>
      <c r="E105" s="252" t="str">
        <f>E96</f>
        <v>Pessimistic Case</v>
      </c>
      <c r="F105" s="242" t="s">
        <v>209</v>
      </c>
      <c r="H105" s="252" t="str">
        <f>H96</f>
        <v>Base Case</v>
      </c>
      <c r="I105" s="240" t="s">
        <v>105</v>
      </c>
      <c r="K105" s="75"/>
    </row>
    <row r="106" spans="2:11" ht="15" customHeight="1" x14ac:dyDescent="0.35">
      <c r="B106" s="2" t="s">
        <v>172</v>
      </c>
      <c r="C106" s="243"/>
      <c r="D106" s="251">
        <f>(D100+D103)/2</f>
        <v>0.32136773295631371</v>
      </c>
      <c r="E106" s="245">
        <f>(E100+E103)/2</f>
        <v>0.3780796858309573</v>
      </c>
      <c r="F106" s="251">
        <f>(F100+F103)/2</f>
        <v>0.3780796858309573</v>
      </c>
      <c r="H106" s="245">
        <f>(H100+H103)/2</f>
        <v>0.3780796858309573</v>
      </c>
      <c r="I106" s="245">
        <f>(I100+I103)/2</f>
        <v>0.45451562183282618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273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265</v>
      </c>
      <c r="C2" s="1"/>
    </row>
    <row r="3" spans="2:3" x14ac:dyDescent="0.35">
      <c r="B3" s="62"/>
      <c r="C3" s="62"/>
    </row>
    <row r="4" spans="2:3" x14ac:dyDescent="0.35">
      <c r="B4" s="60" t="s">
        <v>263</v>
      </c>
      <c r="C4" s="61" t="s">
        <v>264</v>
      </c>
    </row>
    <row r="5" spans="2:3" x14ac:dyDescent="0.35">
      <c r="B5" s="60"/>
      <c r="C5" s="61"/>
    </row>
    <row r="6" spans="2:3" x14ac:dyDescent="0.35">
      <c r="B6" s="63" t="s">
        <v>266</v>
      </c>
      <c r="C6" s="64" t="s">
        <v>267</v>
      </c>
    </row>
    <row r="7" spans="2:3" x14ac:dyDescent="0.35">
      <c r="B7" s="63"/>
      <c r="C7" s="64"/>
    </row>
    <row r="8" spans="2:3" x14ac:dyDescent="0.35">
      <c r="B8" s="290"/>
      <c r="C8" s="65" t="s">
        <v>268</v>
      </c>
    </row>
    <row r="10" spans="2:3" x14ac:dyDescent="0.35">
      <c r="B10" s="283" t="s">
        <v>269</v>
      </c>
    </row>
    <row r="11" spans="2:3" x14ac:dyDescent="0.35">
      <c r="B11" s="284">
        <f>Inputs!C6</f>
        <v>45639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2025-01-14T02:28:55Z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