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4CAF704-9442-4745-9928-5AFF9838C6B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3" i="4" l="1"/>
  <c r="E93" i="4"/>
  <c r="E92" i="4"/>
  <c r="F91" i="4"/>
  <c r="F95" i="4" s="1"/>
  <c r="E91" i="4"/>
  <c r="E95" i="4" s="1"/>
  <c r="D69" i="4"/>
  <c r="D68" i="4"/>
  <c r="C68" i="4"/>
  <c r="D67" i="4"/>
  <c r="C65" i="4"/>
  <c r="D62" i="4"/>
  <c r="D63" i="4" s="1"/>
  <c r="D61" i="4"/>
  <c r="D60" i="4"/>
  <c r="D59" i="4"/>
  <c r="D58" i="4"/>
  <c r="D71" i="4" s="1"/>
  <c r="C58" i="4"/>
  <c r="D56" i="4"/>
  <c r="D55" i="4"/>
  <c r="D53" i="4"/>
  <c r="D50" i="4"/>
  <c r="C50" i="4"/>
  <c r="F44" i="4"/>
  <c r="D27" i="4"/>
  <c r="C27" i="4"/>
  <c r="F94" i="4" l="1"/>
  <c r="F92" i="4"/>
  <c r="F96" i="4"/>
  <c r="F97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<sst xmlns="http://schemas.openxmlformats.org/spreadsheetml/2006/main" count="405" uniqueCount="288">
  <si>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</si>
  <si>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</si>
  <si>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</si>
  <si>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</si>
  <si>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</si>
  <si>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</si>
  <si>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</si>
  <si>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</si>
  <si>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</si>
  <si>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</si>
  <si>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</si>
  <si>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</si>
  <si>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</si>
  <si>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</si>
  <si>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</si>
  <si>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</si>
  <si>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</si>
  <si>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</si>
  <si>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</si>
  <si>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</si>
  <si>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</si>
  <si>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</si>
  <si>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</si>
  <si>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</si>
  <si>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</si>
  <si>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</si>
  <si>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</si>
  <si>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</si>
  <si>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</si>
  <si>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</si>
  <si>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</si>
  <si>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</si>
  <si>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</si>
  <si>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</si>
  <si>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</si>
  <si>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</si>
  <si>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</si>
  <si>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</si>
  <si>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</si>
  <si>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</si>
  <si>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</si>
  <si>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</si>
  <si>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</si>
  <si>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</si>
  <si>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</si>
  <si>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</si>
  <si>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</si>
  <si>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</si>
  <si>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</si>
  <si>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</si>
  <si>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</si>
  <si>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</si>
  <si>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</si>
  <si>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</si>
  <si>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</si>
  <si>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</si>
  <si>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</si>
  <si>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</si>
  <si>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</si>
  <si>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</si>
  <si>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</si>
  <si>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</si>
  <si>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</si>
  <si>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</si>
  <si>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</si>
  <si>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</si>
  <si>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</si>
  <si>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</si>
  <si>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</si>
  <si>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</si>
  <si>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</si>
  <si>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</si>
  <si>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</si>
  <si>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</si>
  <si>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</si>
  <si>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</si>
  <si>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</si>
  <si>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</si>
  <si>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</si>
  <si>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</si>
  <si>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</si>
  <si>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</si>
  <si>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</si>
  <si>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</si>
  <si>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</si>
  <si>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</si>
  <si>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</si>
  <si>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</si>
  <si>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</si>
  <si>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</si>
  <si>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</si>
  <si>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</si>
  <si>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</si>
  <si>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</si>
  <si>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</si>
  <si>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</si>
  <si>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</si>
  <si>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</si>
  <si>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</si>
  <si>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</si>
  <si>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</si>
  <si>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</si>
  <si>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</si>
  <si>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</si>
  <si>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</si>
  <si>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</si>
  <si>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</si>
  <si>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</si>
  <si>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</si>
  <si>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</si>
  <si>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</si>
  <si>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</si>
  <si>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</si>
  <si>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</si>
  <si>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</si>
  <si>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</si>
  <si>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</si>
  <si>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</si>
  <si>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</si>
  <si>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</si>
  <si>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</si>
  <si>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</si>
  <si>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</si>
  <si>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</si>
  <si>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</si>
  <si>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</si>
  <si>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</si>
  <si>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</si>
  <si>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</si>
  <si>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</si>
  <si>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</si>
  <si>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</si>
  <si>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</si>
  <si>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</si>
  <si>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</si>
  <si>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</si>
  <si>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</si>
  <si>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</si>
  <si>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</si>
  <si>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</si>
  <si>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</si>
  <si>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</si>
  <si>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</si>
  <si>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</si>
  <si>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</si>
  <si>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</si>
  <si>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</si>
  <si>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</si>
  <si>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</si>
  <si>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</si>
  <si>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</si>
  <si>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</si>
  <si>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</si>
  <si>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</si>
  <si>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</si>
  <si>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</si>
  <si>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</si>
  <si>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</si>
  <si>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</si>
  <si>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</si>
  <si>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</si>
  <si>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</si>
  <si>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</si>
  <si>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</si>
  <si>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</si>
  <si>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</si>
  <si>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</si>
  <si>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</si>
  <si>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</si>
  <si>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</si>
  <si>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</si>
  <si>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</si>
  <si>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</si>
  <si>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</si>
  <si>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</si>
  <si>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</si>
  <si>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</si>
  <si>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</si>
  <si>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</si>
  <si>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</si>
  <si>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</si>
  <si>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</si>
  <si>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</si>
  <si>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</si>
  <si>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</si>
  <si>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</si>
  <si>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</si>
  <si>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</si>
  <si>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</si>
  <si>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</si>
  <si>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</si>
  <si>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</si>
  <si>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</si>
  <si>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</si>
  <si>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</si>
  <si>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</si>
  <si>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</si>
  <si>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</si>
  <si>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</si>
  <si>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</si>
  <si>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</si>
  <si>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</si>
  <si>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</si>
  <si>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</si>
  <si>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</si>
  <si>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</si>
  <si>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</si>
  <si>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</si>
  <si>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</si>
  <si>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</si>
  <si>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</si>
  <si>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</si>
  <si>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</si>
  <si>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</si>
  <si>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</si>
  <si>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</si>
  <si>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</si>
  <si>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</si>
  <si>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</si>
  <si>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</si>
  <si>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</si>
  <si>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</si>
  <si>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</si>
  <si>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</si>
  <si>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</si>
  <si>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</si>
  <si>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</si>
  <si>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</si>
  <si>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</si>
  <si>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</si>
  <si>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</si>
  <si>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</si>
  <si>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</si>
  <si>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</si>
  <si>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</si>
  <si>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</si>
  <si>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</si>
  <si>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</si>
  <si>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</si>
  <si>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</si>
  <si>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</si>
  <si>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</si>
  <si>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</si>
  <si>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</si>
  <si>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</si>
  <si>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</si>
  <si>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</si>
  <si>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</si>
  <si>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</si>
  <si>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</si>
  <si>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</si>
  <si>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</si>
  <si>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</si>
  <si>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</si>
  <si>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</si>
  <si>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</si>
  <si>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</si>
  <si>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</si>
  <si>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</si>
  <si>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</si>
  <si>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</si>
  <si>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</si>
  <si>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</si>
  <si>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</si>
  <si>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</si>
  <si>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</si>
  <si>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</si>
  <si>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</si>
  <si>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</si>
  <si>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</si>
  <si>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</si>
  <si>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</si>
  <si>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</si>
  <si>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</si>
  <si>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</si>
  <si>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</si>
  <si>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</si>
  <si>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</si>
  <si>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</si>
  <si>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</si>
  <si>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</si>
  <si>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</si>
  <si>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</si>
  <si>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</si>
  <si>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</si>
  <si>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0806.HK</t>
  </si>
  <si>
    <t>VALUE PARTNERS</t>
  </si>
  <si>
    <t>C0008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</si>
</sst>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285</v>
      </c>
      <c r="D4" s="66"/>
    </row>
    <row r="5" spans="1:5" x14ac:dyDescent="0.35">
      <c r="B5" s="46" t="s">
        <v>169</v>
      </c>
      <c r="C5" s="67" t="s">
        <v>286</v>
      </c>
    </row>
    <row r="6" spans="1:5" x14ac:dyDescent="0.35">
      <c r="B6" s="46" t="s">
        <v>269</v>
      </c>
      <c r="C6" s="68">
        <v>45636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64</v>
      </c>
    </row>
    <row r="9" spans="1:5" x14ac:dyDescent="0.35">
      <c r="B9" s="39" t="s">
        <v>190</v>
      </c>
      <c r="C9" s="119" t="s">
        <v>287</v>
      </c>
    </row>
    <row r="10" spans="1:5" x14ac:dyDescent="0.35">
      <c r="B10" s="39" t="s">
        <v>191</v>
      </c>
      <c r="C10" s="70">
        <v>1826710016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283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215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215</v>
      </c>
      <c r="D19" s="75"/>
    </row>
    <row r="20" spans="2:13" x14ac:dyDescent="0.35">
      <c r="B20" s="57" t="s">
        <v>200</v>
      </c>
      <c r="C20" s="121" t="s">
        <v>215</v>
      </c>
      <c r="D20" s="75"/>
    </row>
    <row r="21" spans="2:13" x14ac:dyDescent="0.35">
      <c r="B21" s="2" t="s">
        <v>203</v>
      </c>
      <c r="C21" s="121" t="s">
        <v>215</v>
      </c>
      <c r="D21" s="75"/>
    </row>
    <row r="22" spans="2:13" ht="69.75" x14ac:dyDescent="0.35">
      <c r="B22" s="59" t="s">
        <v>202</v>
      </c>
      <c r="C22" s="122" t="s">
        <v>284</v>
      </c>
      <c r="D22" s="75"/>
    </row>
    <row r="24" spans="2:13" x14ac:dyDescent="0.35">
      <c r="B24" s="76" t="s">
        <v>279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514856</v>
      </c>
      <c r="D25" s="77">
        <v>584543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232905</v>
      </c>
      <c r="D26" s="78">
        <v>252590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f>250848+7069+19250+113116</f>
        <v>390283</v>
      </c>
      <c r="D27" s="78">
        <f>330088+6978+20483+119776</f>
        <v>477325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7447</v>
      </c>
      <c r="D29" s="78">
        <v>5293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v>0.5</v>
      </c>
      <c r="D44" s="81">
        <v>3.3999923061679899E-2</v>
      </c>
      <c r="E44" s="81">
        <v>0.08</v>
      </c>
      <c r="F44" s="81">
        <f>0.26+0.08</f>
        <v>0.34</v>
      </c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0.3623188405797102</v>
      </c>
      <c r="D45" s="82">
        <f>IF(D44="","",D44*Exchange_Rate/Dashboard!$G$3)</f>
        <v>2.4637625407014422E-2</v>
      </c>
      <c r="E45" s="82">
        <f>IF(E44="","",E44*Exchange_Rate/Dashboard!$G$3)</f>
        <v>5.7971014492753631E-2</v>
      </c>
      <c r="F45" s="82">
        <f>IF(F44="","",F44*Exchange_Rate/Dashboard!$G$3)</f>
        <v>0.24637681159420294</v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>
        <v>922361</v>
      </c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>
        <f>46927+74233+23318</f>
        <v>144478</v>
      </c>
      <c r="D50" s="109">
        <f>D51</f>
        <v>0.6</v>
      </c>
      <c r="E50" s="260"/>
    </row>
    <row r="51" spans="2:5" x14ac:dyDescent="0.35">
      <c r="B51" s="9" t="s">
        <v>35</v>
      </c>
      <c r="C51" s="86">
        <v>179879</v>
      </c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>
        <v>27002</v>
      </c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>
        <f>553</f>
        <v>553</v>
      </c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>
        <v>1575035</v>
      </c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>
        <f>512565+1009</f>
        <v>513574</v>
      </c>
      <c r="D65" s="109">
        <v>0.1</v>
      </c>
      <c r="E65" s="261" t="s">
        <v>64</v>
      </c>
    </row>
    <row r="66" spans="2:5" x14ac:dyDescent="0.35">
      <c r="B66" s="9" t="s">
        <v>65</v>
      </c>
      <c r="C66" s="86">
        <v>187576</v>
      </c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>
        <f>149516+38681</f>
        <v>188197</v>
      </c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>
        <v>11428</v>
      </c>
      <c r="D70" s="109">
        <v>0.05</v>
      </c>
      <c r="E70" s="260"/>
    </row>
    <row r="71" spans="2:5" x14ac:dyDescent="0.35">
      <c r="B71" s="9" t="s">
        <v>68</v>
      </c>
      <c r="C71" s="86">
        <v>3593</v>
      </c>
      <c r="D71" s="109">
        <f>D58</f>
        <v>0.9</v>
      </c>
      <c r="E71" s="260"/>
    </row>
    <row r="72" spans="2:5" ht="12" thickBot="1" x14ac:dyDescent="0.4">
      <c r="B72" s="89" t="s">
        <v>69</v>
      </c>
      <c r="C72" s="90">
        <v>7278</v>
      </c>
      <c r="D72" s="111">
        <v>0</v>
      </c>
      <c r="E72" s="262"/>
    </row>
    <row r="73" spans="2:5" x14ac:dyDescent="0.35">
      <c r="B73" s="9" t="s">
        <v>32</v>
      </c>
      <c r="C73" s="86">
        <v>1149</v>
      </c>
    </row>
    <row r="74" spans="2:5" x14ac:dyDescent="0.35">
      <c r="B74" s="9" t="s">
        <v>33</v>
      </c>
      <c r="C74" s="86">
        <v>13306</v>
      </c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>
        <v>94912</v>
      </c>
    </row>
    <row r="78" spans="2:5" ht="12" thickTop="1" x14ac:dyDescent="0.35">
      <c r="B78" s="9" t="s">
        <v>55</v>
      </c>
      <c r="C78" s="86">
        <v>70891</v>
      </c>
    </row>
    <row r="79" spans="2:5" x14ac:dyDescent="0.35">
      <c r="B79" s="9" t="s">
        <v>57</v>
      </c>
      <c r="C79" s="86">
        <v>24307</v>
      </c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>
        <v>95903</v>
      </c>
    </row>
    <row r="83" spans="2:8" hidden="1" x14ac:dyDescent="0.35">
      <c r="B83" s="300" t="s">
        <v>247</v>
      </c>
      <c r="C83" s="79">
        <v>3570139</v>
      </c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275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514856</v>
      </c>
      <c r="D91" s="98"/>
      <c r="E91" s="99">
        <f>C91</f>
        <v>514856</v>
      </c>
      <c r="F91" s="99">
        <f>C91</f>
        <v>514856</v>
      </c>
    </row>
    <row r="92" spans="2:8" x14ac:dyDescent="0.35">
      <c r="B92" s="100" t="s">
        <v>98</v>
      </c>
      <c r="C92" s="97">
        <f>C26</f>
        <v>232905</v>
      </c>
      <c r="D92" s="101">
        <f>C92/C91</f>
        <v>0.45236920614696147</v>
      </c>
      <c r="E92" s="102">
        <f>E91*D92</f>
        <v>232905</v>
      </c>
      <c r="F92" s="102">
        <f>F91*D92</f>
        <v>232905</v>
      </c>
    </row>
    <row r="93" spans="2:8" x14ac:dyDescent="0.35">
      <c r="B93" s="100" t="s">
        <v>217</v>
      </c>
      <c r="C93" s="97">
        <f>C27+C28</f>
        <v>390283</v>
      </c>
      <c r="D93" s="101">
        <f>C93/C91</f>
        <v>0.75804302562269843</v>
      </c>
      <c r="E93" s="102">
        <f>E91*D93</f>
        <v>390283</v>
      </c>
      <c r="F93" s="102">
        <f>F91*D93</f>
        <v>390283</v>
      </c>
    </row>
    <row r="94" spans="2:8" x14ac:dyDescent="0.35">
      <c r="B94" s="100" t="s">
        <v>223</v>
      </c>
      <c r="C94" s="97">
        <f>C29</f>
        <v>7447</v>
      </c>
      <c r="D94" s="101">
        <f>C94/C91</f>
        <v>1.4464238544369687E-2</v>
      </c>
      <c r="E94" s="103"/>
      <c r="F94" s="102">
        <f>F91*D94</f>
        <v>7447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181</v>
      </c>
      <c r="C98" s="104">
        <f>C44</f>
        <v>0.5</v>
      </c>
      <c r="D98" s="105"/>
      <c r="E98" s="106">
        <v>0</v>
      </c>
      <c r="F98" s="106">
        <v>0.03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0806.HK : VALUE PARTNERS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168</v>
      </c>
      <c r="C3" s="312" t="str">
        <f>Inputs!C4</f>
        <v>0806.HK</v>
      </c>
      <c r="D3" s="313"/>
      <c r="E3" s="3"/>
      <c r="F3" s="9" t="s">
        <v>1</v>
      </c>
      <c r="G3" s="10">
        <v>1.38</v>
      </c>
      <c r="H3" s="11" t="s">
        <v>257</v>
      </c>
    </row>
    <row r="4" spans="1:10" ht="15.75" customHeight="1" x14ac:dyDescent="0.35">
      <c r="B4" s="12" t="s">
        <v>169</v>
      </c>
      <c r="C4" s="314" t="str">
        <f>Inputs!C5</f>
        <v>VALUE PARTNERS</v>
      </c>
      <c r="D4" s="315"/>
      <c r="E4" s="3"/>
      <c r="F4" s="9" t="s">
        <v>3</v>
      </c>
      <c r="G4" s="318">
        <f>Inputs!C10</f>
        <v>1826710016</v>
      </c>
      <c r="H4" s="318"/>
      <c r="I4" s="14"/>
    </row>
    <row r="5" spans="1:10" ht="15.75" customHeight="1" x14ac:dyDescent="0.35">
      <c r="B5" s="9" t="s">
        <v>146</v>
      </c>
      <c r="C5" s="316">
        <f>Inputs!C6</f>
        <v>45636</v>
      </c>
      <c r="D5" s="317"/>
      <c r="E5" s="16"/>
      <c r="F5" s="12" t="s">
        <v>92</v>
      </c>
      <c r="G5" s="321">
        <f>G3*G4/1000000</f>
        <v>2520.85982208</v>
      </c>
      <c r="H5" s="321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22" t="str">
        <f>Inputs!C11</f>
        <v>HKD</v>
      </c>
      <c r="H6" s="322"/>
      <c r="I6" s="17"/>
    </row>
    <row r="7" spans="1:10" ht="15.75" customHeight="1" x14ac:dyDescent="0.35">
      <c r="B7" s="8" t="s">
        <v>166</v>
      </c>
      <c r="C7" s="123" t="str">
        <f>Inputs!C8</f>
        <v>N</v>
      </c>
      <c r="D7" s="123" t="str">
        <f>Inputs!C9</f>
        <v>C0008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CN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-0.21041223176965987</v>
      </c>
      <c r="F21" s="3"/>
      <c r="G21" s="34"/>
    </row>
    <row r="22" spans="1:8" ht="15.75" customHeight="1" x14ac:dyDescent="0.35">
      <c r="B22" s="35" t="s">
        <v>245</v>
      </c>
      <c r="C22" s="36" t="e">
        <f>Data!C50</f>
        <v>#DIV/0!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 t="e">
        <f>1/Data!C55</f>
        <v>#DIV/0!</v>
      </c>
      <c r="F23" s="39" t="s">
        <v>164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1.4464238544369687E-2</v>
      </c>
      <c r="F24" s="39" t="s">
        <v>225</v>
      </c>
      <c r="G24" s="43">
        <f>G3/(Fin_Analysis!H86*G7)</f>
        <v>-29.03070875927413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-0.63110236433204636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2.1739130434782608E-2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9" t="s">
        <v>224</v>
      </c>
      <c r="H28" s="319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0.19765397796332862</v>
      </c>
      <c r="D29" s="54">
        <f>G29*(1+G20)</f>
        <v>0.13811443150836025</v>
      </c>
      <c r="E29" s="3"/>
      <c r="F29" s="55">
        <f>IF(Fin_Analysis!C108="Profit",Fin_Analysis!F100,IF(Fin_Analysis!C108="Dividend",Fin_Analysis!F103,Fin_Analysis!F106))</f>
        <v>0.23253409172156309</v>
      </c>
      <c r="G29" s="320">
        <f>IF(Fin_Analysis!C108="Profit",Fin_Analysis!I100,IF(Fin_Analysis!C108="Dividend",Fin_Analysis!I103,Fin_Analysis!I106))</f>
        <v>0.12009950565944372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unclear</v>
      </c>
    </row>
    <row r="34" spans="1:4" ht="15.75" customHeight="1" x14ac:dyDescent="0.35">
      <c r="B34" s="57" t="s">
        <v>198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unclear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unclear</v>
      </c>
    </row>
    <row r="40" spans="1:4" ht="15.75" customHeight="1" x14ac:dyDescent="0.35">
      <c r="B40" s="2" t="s">
        <v>203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-108332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514856</v>
      </c>
      <c r="D6" s="142">
        <f>IF(Inputs!D25="","",Inputs!D25)</f>
        <v>584543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-0.11921620821735956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232905</v>
      </c>
      <c r="D8" s="144">
        <f>IF(Inputs!D26="","",Inputs!D26)</f>
        <v>252590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281951</v>
      </c>
      <c r="D9" s="273">
        <f t="shared" si="2"/>
        <v>331953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390283</v>
      </c>
      <c r="D10" s="144">
        <f>IF(Inputs!D27="","",Inputs!D27)</f>
        <v>477325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-0.21041223176965987</v>
      </c>
      <c r="D13" s="292">
        <f t="shared" si="3"/>
        <v>-0.24869342375154607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-108332</v>
      </c>
      <c r="D14" s="294">
        <f t="shared" ref="D14:M14" si="4">IF(D6="","",D9-D10-MAX(D11,0)-MAX(D12,0))</f>
        <v>-145372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0.25479459593319209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7447</v>
      </c>
      <c r="D19" s="144">
        <f>IF(Inputs!D29="","",Inputs!D29)</f>
        <v>5293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-115779</v>
      </c>
      <c r="D24" s="309">
        <f t="shared" si="9"/>
        <v>-150665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-0.16865735273552215</v>
      </c>
      <c r="D25" s="143">
        <f t="shared" si="10"/>
        <v>-0.19331127051388863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-86834.25</v>
      </c>
      <c r="D26" s="276">
        <f>IF(D6="","",D24*(1-Fin_Analysis!$I$84))</f>
        <v>-112998.75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0.23154680914611886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144478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14455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95198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109653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-3378425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0.45236920614696147</v>
      </c>
      <c r="D42" s="150">
        <f t="shared" si="35"/>
        <v>0.43211534480782421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0.75804302562269843</v>
      </c>
      <c r="D43" s="146">
        <f t="shared" si="36"/>
        <v>0.81657807894372181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1.4464238544369687E-2</v>
      </c>
      <c r="D45" s="146">
        <f t="shared" si="38"/>
        <v>9.0549369336387579E-3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-0.22487647031402955</v>
      </c>
      <c r="D48" s="281">
        <f t="shared" si="41"/>
        <v>-0.25774836068518486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0.28061826996286338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>
        <f t="shared" ref="C56:M56" si="47">IF(OR(C24="",C35=""),"",IF(C35&lt;=0,"-",C24/C35))</f>
        <v>-1.0558671445377692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-6.4320818110365441E-2</v>
      </c>
      <c r="D57" s="146">
        <f t="shared" si="48"/>
        <v>-3.5130919589818468E-2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0</v>
      </c>
      <c r="K3" s="75"/>
    </row>
    <row r="4" spans="1:11" ht="15" customHeight="1" x14ac:dyDescent="0.35">
      <c r="B4" s="9" t="s">
        <v>22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>
        <f>C28/I28</f>
        <v>13.425836564396494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2084455.4</v>
      </c>
      <c r="E6" s="170" t="e">
        <f>1-D6/D3</f>
        <v>#DIV/0!</v>
      </c>
      <c r="F6" s="3"/>
      <c r="G6" s="3"/>
      <c r="H6" s="2" t="s">
        <v>25</v>
      </c>
      <c r="I6" s="168">
        <f>(C24+C25)/I28</f>
        <v>13.420010114632502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1.1410981391367157</v>
      </c>
      <c r="E7" s="167" t="str">
        <f>Dashboard!H3</f>
        <v>HKD</v>
      </c>
      <c r="H7" s="2" t="s">
        <v>26</v>
      </c>
      <c r="I7" s="168">
        <f>C24/I28</f>
        <v>13.135515003371545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922361</v>
      </c>
      <c r="D11" s="258">
        <f>Inputs!D48</f>
        <v>0.9</v>
      </c>
      <c r="E11" s="176">
        <f t="shared" ref="E11:E22" si="0">C11*D11</f>
        <v>830124.9</v>
      </c>
      <c r="F11" s="260"/>
      <c r="G11" s="3"/>
      <c r="H11" s="9" t="s">
        <v>32</v>
      </c>
      <c r="I11" s="175">
        <f>Inputs!C73</f>
        <v>1149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13306</v>
      </c>
      <c r="J12" s="3"/>
      <c r="K12" s="75"/>
    </row>
    <row r="13" spans="1:11" ht="11.65" x14ac:dyDescent="0.35">
      <c r="B13" s="9" t="s">
        <v>106</v>
      </c>
      <c r="C13" s="175">
        <f>Inputs!C50</f>
        <v>144478</v>
      </c>
      <c r="D13" s="258">
        <f>Inputs!D50</f>
        <v>0.6</v>
      </c>
      <c r="E13" s="176">
        <f t="shared" si="0"/>
        <v>86686.8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179879</v>
      </c>
      <c r="D14" s="258">
        <f>Inputs!D51</f>
        <v>0.6</v>
      </c>
      <c r="E14" s="176">
        <f t="shared" si="0"/>
        <v>107927.4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14455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27002</v>
      </c>
      <c r="D17" s="258">
        <f>Inputs!D54</f>
        <v>0.1</v>
      </c>
      <c r="E17" s="176">
        <f t="shared" si="0"/>
        <v>2700.2000000000003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553</v>
      </c>
      <c r="D21" s="258">
        <f>Inputs!D58</f>
        <v>0.9</v>
      </c>
      <c r="E21" s="176">
        <f t="shared" si="0"/>
        <v>497.7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80457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1246718</v>
      </c>
      <c r="D24" s="185">
        <f>IF(E24=0,0,E24/C24)</f>
        <v>0.82194939031922221</v>
      </c>
      <c r="E24" s="176">
        <f>SUM(E11:E14)</f>
        <v>1024739.1000000001</v>
      </c>
      <c r="F24" s="186">
        <f>E24/$E$28</f>
        <v>0.99688901168067701</v>
      </c>
      <c r="G24" s="3"/>
    </row>
    <row r="25" spans="2:10" ht="15" customHeight="1" x14ac:dyDescent="0.35">
      <c r="B25" s="183" t="s">
        <v>48</v>
      </c>
      <c r="C25" s="184">
        <f>SUM(C15:C17)</f>
        <v>27002</v>
      </c>
      <c r="D25" s="185">
        <f>IF(E25=0,0,E25/C25)</f>
        <v>0.1</v>
      </c>
      <c r="E25" s="176">
        <f>SUM(E15:E17)</f>
        <v>2700.2000000000003</v>
      </c>
      <c r="F25" s="186">
        <f>E25/$E$28</f>
        <v>2.6268146783314543E-3</v>
      </c>
      <c r="G25" s="3"/>
      <c r="H25" s="183" t="s">
        <v>49</v>
      </c>
      <c r="I25" s="168">
        <f>E28/I28</f>
        <v>10.830421864463924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>
        <f>E26/$E$28</f>
        <v>0</v>
      </c>
      <c r="G26" s="3"/>
      <c r="H26" s="183" t="s">
        <v>51</v>
      </c>
      <c r="I26" s="168">
        <f>E24/($I$28-I22)</f>
        <v>70.891670702179184</v>
      </c>
      <c r="J26" s="187" t="str">
        <f>IF(I26&lt;1,"Liquidity Problem!","")</f>
        <v/>
      </c>
    </row>
    <row r="27" spans="2:10" ht="15" customHeight="1" x14ac:dyDescent="0.35">
      <c r="B27" s="183" t="s">
        <v>52</v>
      </c>
      <c r="C27" s="97">
        <f>C21+C22</f>
        <v>553</v>
      </c>
      <c r="D27" s="185">
        <f>IF(E27=0,0,E27/C27)</f>
        <v>0.9</v>
      </c>
      <c r="E27" s="176">
        <f>E21+E22</f>
        <v>497.7</v>
      </c>
      <c r="F27" s="186">
        <f>E27/$E$28</f>
        <v>4.8417364099161717E-4</v>
      </c>
      <c r="G27" s="3"/>
      <c r="H27" s="183" t="s">
        <v>53</v>
      </c>
      <c r="I27" s="168">
        <f>(E25+E24)/$I$28</f>
        <v>10.825178059676333</v>
      </c>
      <c r="J27" s="187" t="str">
        <f>IF(OR(I27&lt;0.75,C28&lt;I28),"Liquidity Issue!","")</f>
        <v/>
      </c>
    </row>
    <row r="28" spans="2:10" ht="15" customHeight="1" x14ac:dyDescent="0.35">
      <c r="B28" s="188" t="s">
        <v>15</v>
      </c>
      <c r="C28" s="189">
        <f>SUM(C11:C22)</f>
        <v>1274273</v>
      </c>
      <c r="D28" s="190">
        <f>E28/C28</f>
        <v>0.80668506670077766</v>
      </c>
      <c r="E28" s="191">
        <f>SUM(E24:E27)</f>
        <v>1027937</v>
      </c>
      <c r="F28" s="87"/>
      <c r="G28" s="3"/>
      <c r="H28" s="188" t="s">
        <v>16</v>
      </c>
      <c r="I28" s="161">
        <f>Inputs!C77</f>
        <v>94912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70891</v>
      </c>
      <c r="J30" s="3"/>
    </row>
    <row r="31" spans="2:10" ht="15" customHeight="1" x14ac:dyDescent="0.35">
      <c r="B31" s="9" t="s">
        <v>56</v>
      </c>
      <c r="C31" s="175">
        <f>Inputs!C61</f>
        <v>1575035</v>
      </c>
      <c r="D31" s="258">
        <f>Inputs!D61</f>
        <v>0.6</v>
      </c>
      <c r="E31" s="176">
        <f t="shared" ref="E31:E42" si="1">C31*D31</f>
        <v>945021</v>
      </c>
      <c r="F31" s="260"/>
      <c r="G31" s="3"/>
      <c r="H31" s="9" t="s">
        <v>57</v>
      </c>
      <c r="I31" s="175">
        <f>Inputs!C79</f>
        <v>24307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95198</v>
      </c>
      <c r="J34" s="3"/>
    </row>
    <row r="35" spans="2:10" ht="11.65" x14ac:dyDescent="0.35">
      <c r="B35" s="9" t="s">
        <v>63</v>
      </c>
      <c r="C35" s="175">
        <f>Inputs!C65</f>
        <v>513574</v>
      </c>
      <c r="D35" s="258">
        <f>Inputs!D65</f>
        <v>0.1</v>
      </c>
      <c r="E35" s="176">
        <f t="shared" si="1"/>
        <v>51357.4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187576</v>
      </c>
      <c r="D36" s="258">
        <f>Inputs!D66</f>
        <v>0.2</v>
      </c>
      <c r="E36" s="176">
        <f t="shared" si="1"/>
        <v>37515.200000000004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188197</v>
      </c>
      <c r="D38" s="258">
        <f>Inputs!D68</f>
        <v>0.1</v>
      </c>
      <c r="E38" s="176">
        <f t="shared" si="1"/>
        <v>18819.7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11428</v>
      </c>
      <c r="D40" s="258">
        <f>Inputs!D70</f>
        <v>0.05</v>
      </c>
      <c r="E40" s="176">
        <f t="shared" si="1"/>
        <v>571.4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3593</v>
      </c>
      <c r="D41" s="258">
        <f>Inputs!D71</f>
        <v>0.9</v>
      </c>
      <c r="E41" s="176">
        <f t="shared" si="1"/>
        <v>3233.7000000000003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7278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-190110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1575035</v>
      </c>
      <c r="D44" s="185">
        <f>IF(E44=0,0,E44/C44)</f>
        <v>0.6</v>
      </c>
      <c r="E44" s="176">
        <f>SUM(E30:E31)</f>
        <v>945021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513574</v>
      </c>
      <c r="D45" s="185">
        <f>IF(E45=0,0,E45/C45)</f>
        <v>0.1</v>
      </c>
      <c r="E45" s="176">
        <f>SUM(E32:E35)</f>
        <v>51357.4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375773</v>
      </c>
      <c r="D46" s="185">
        <f>IF(E46=0,0,E46/C46)</f>
        <v>0.14991737032729868</v>
      </c>
      <c r="E46" s="176">
        <f>E36+E37+E38+E39</f>
        <v>56334.900000000009</v>
      </c>
      <c r="F46" s="3"/>
      <c r="G46" s="3"/>
      <c r="H46" s="183" t="s">
        <v>74</v>
      </c>
      <c r="I46" s="168">
        <f>(E44+E24)/E64</f>
        <v>17.963576919920111</v>
      </c>
      <c r="J46" s="187" t="str">
        <f>IF(I46&lt;1,"Liquidity Problem!","")</f>
        <v/>
      </c>
    </row>
    <row r="47" spans="2:10" ht="15" customHeight="1" x14ac:dyDescent="0.35">
      <c r="B47" s="183" t="s">
        <v>75</v>
      </c>
      <c r="C47" s="184">
        <f>C40+C41+C42</f>
        <v>22299</v>
      </c>
      <c r="D47" s="185">
        <f>IF(E47=0,0,E47/C47)</f>
        <v>0.17063993901071797</v>
      </c>
      <c r="E47" s="176">
        <f>E40+E41+E42</f>
        <v>3805.1000000000004</v>
      </c>
      <c r="F47" s="3"/>
      <c r="G47" s="3"/>
      <c r="H47" s="183" t="s">
        <v>76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77</v>
      </c>
      <c r="C48" s="194">
        <f>SUM(C30:C42)</f>
        <v>2486681</v>
      </c>
      <c r="D48" s="195">
        <f>E48/C48</f>
        <v>0.42487090221866008</v>
      </c>
      <c r="E48" s="196">
        <f>SUM(E30:E42)</f>
        <v>1056518.3999999999</v>
      </c>
      <c r="F48" s="3"/>
      <c r="G48" s="3"/>
      <c r="H48" s="91" t="s">
        <v>78</v>
      </c>
      <c r="I48" s="197">
        <f>I49-I28</f>
        <v>-94912</v>
      </c>
      <c r="J48" s="187"/>
    </row>
    <row r="49" spans="2:11" ht="15" customHeight="1" thickTop="1" x14ac:dyDescent="0.35">
      <c r="B49" s="9" t="s">
        <v>14</v>
      </c>
      <c r="C49" s="184">
        <f>Inputs!C41+Inputs!C37</f>
        <v>0</v>
      </c>
      <c r="D49" s="170" t="e">
        <f>E49/C49</f>
        <v>#DIV/0!</v>
      </c>
      <c r="E49" s="176">
        <f>E28+E48</f>
        <v>2084455.4</v>
      </c>
      <c r="F49" s="3"/>
      <c r="G49" s="3"/>
      <c r="H49" s="9" t="s">
        <v>79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109653</v>
      </c>
      <c r="E56" s="317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18">
        <f>Inputs!C84</f>
        <v>0</v>
      </c>
      <c r="E57" s="317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2456064</v>
      </c>
      <c r="D61" s="170">
        <f t="shared" ref="D61:D70" si="2">IF(E61=0,0,E61/C61)</f>
        <v>0.46489871599437138</v>
      </c>
      <c r="E61" s="182">
        <f>E14+E15+(E19*G19)+(E20*G20)+E31+E32+(E35*G35)+(E36*G36)+(E37*G37)</f>
        <v>1141820.9999999998</v>
      </c>
      <c r="F61" s="3"/>
      <c r="G61" s="3"/>
      <c r="H61" s="2" t="s">
        <v>254</v>
      </c>
      <c r="I61" s="203">
        <f>C99*Data!$C$4/Common_Shares</f>
        <v>1.0194792187530217</v>
      </c>
      <c r="K61" s="172"/>
    </row>
    <row r="62" spans="2:11" ht="11.65" x14ac:dyDescent="0.35">
      <c r="B62" s="12" t="s">
        <v>128</v>
      </c>
      <c r="C62" s="204">
        <f>C11+C30</f>
        <v>922361</v>
      </c>
      <c r="D62" s="205">
        <f t="shared" si="2"/>
        <v>0.9</v>
      </c>
      <c r="E62" s="206">
        <f>E11+E30</f>
        <v>830124.9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3378425</v>
      </c>
      <c r="D63" s="34">
        <f t="shared" si="2"/>
        <v>0.58368793150654519</v>
      </c>
      <c r="E63" s="184">
        <f>E61+E62</f>
        <v>1971945.9</v>
      </c>
      <c r="F63" s="3"/>
      <c r="G63" s="3"/>
      <c r="H63" s="2" t="s">
        <v>255</v>
      </c>
      <c r="I63" s="207">
        <f>IF(I61&gt;0,FV(I62,D93,0,-I61),I61)</f>
        <v>1.0953177541217469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109653</v>
      </c>
      <c r="F64" s="3"/>
      <c r="G64" s="3"/>
      <c r="H64" s="2" t="s">
        <v>256</v>
      </c>
      <c r="I64" s="207">
        <f>IF(I61&gt;0,PV(C94,D93,0,-I63),I61)</f>
        <v>0.62625148087478089</v>
      </c>
      <c r="K64" s="172"/>
    </row>
    <row r="65" spans="1:11" ht="12" thickTop="1" x14ac:dyDescent="0.35">
      <c r="B65" s="9" t="s">
        <v>131</v>
      </c>
      <c r="C65" s="202">
        <f>C63-E64</f>
        <v>3268772</v>
      </c>
      <c r="D65" s="34">
        <f t="shared" si="2"/>
        <v>0.56972248293854688</v>
      </c>
      <c r="E65" s="184">
        <f>E63-E64</f>
        <v>1862292.9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-3378425</v>
      </c>
      <c r="D68" s="34">
        <f t="shared" si="2"/>
        <v>-3.33023524275365E-2</v>
      </c>
      <c r="E68" s="202">
        <f>E49-E63</f>
        <v>112509.5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-109653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-3268772</v>
      </c>
      <c r="D70" s="34">
        <f t="shared" si="2"/>
        <v>-6.7965125741409921E-2</v>
      </c>
      <c r="E70" s="202">
        <f>E68-E69</f>
        <v>222162.5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514856</v>
      </c>
      <c r="D74" s="98"/>
      <c r="E74" s="256">
        <f>Inputs!E91</f>
        <v>514856</v>
      </c>
      <c r="F74" s="98"/>
      <c r="H74" s="256">
        <f>Inputs!F91</f>
        <v>514856</v>
      </c>
      <c r="I74" s="98"/>
      <c r="K74" s="75"/>
    </row>
    <row r="75" spans="1:11" ht="15" customHeight="1" x14ac:dyDescent="0.35">
      <c r="B75" s="100" t="s">
        <v>98</v>
      </c>
      <c r="C75" s="97">
        <f>Data!C8</f>
        <v>232905</v>
      </c>
      <c r="D75" s="101">
        <f>C75/$C$74</f>
        <v>0.45236920614696147</v>
      </c>
      <c r="E75" s="256">
        <f>Inputs!E92</f>
        <v>232905</v>
      </c>
      <c r="F75" s="211">
        <f>E75/E74</f>
        <v>0.45236920614696147</v>
      </c>
      <c r="H75" s="256">
        <f>Inputs!F92</f>
        <v>232905</v>
      </c>
      <c r="I75" s="211">
        <f>H75/$H$74</f>
        <v>0.45236920614696147</v>
      </c>
      <c r="K75" s="75"/>
    </row>
    <row r="76" spans="1:11" ht="15" customHeight="1" x14ac:dyDescent="0.35">
      <c r="B76" s="12" t="s">
        <v>88</v>
      </c>
      <c r="C76" s="145">
        <f>C74-C75</f>
        <v>281951</v>
      </c>
      <c r="D76" s="212"/>
      <c r="E76" s="213">
        <f>E74-E75</f>
        <v>281951</v>
      </c>
      <c r="F76" s="212"/>
      <c r="H76" s="213">
        <f>H74-H75</f>
        <v>281951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390283</v>
      </c>
      <c r="D77" s="101">
        <f>C77/$C$74</f>
        <v>0.75804302562269843</v>
      </c>
      <c r="E77" s="256">
        <f>Inputs!E93</f>
        <v>390283</v>
      </c>
      <c r="F77" s="211">
        <f>E77/E74</f>
        <v>0.75804302562269843</v>
      </c>
      <c r="H77" s="256">
        <f>Inputs!F93</f>
        <v>390283</v>
      </c>
      <c r="I77" s="211">
        <f>H77/$H$74</f>
        <v>0.75804302562269843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204</v>
      </c>
      <c r="C79" s="216">
        <f>C76-C77-C78</f>
        <v>-108332</v>
      </c>
      <c r="D79" s="217">
        <f>C79/C74</f>
        <v>-0.21041223176965987</v>
      </c>
      <c r="E79" s="218">
        <f>E76-E77-E78</f>
        <v>-108332</v>
      </c>
      <c r="F79" s="217">
        <f>E79/E74</f>
        <v>-0.21041223176965987</v>
      </c>
      <c r="G79" s="219"/>
      <c r="H79" s="218">
        <f>H76-H77-H78</f>
        <v>-108332</v>
      </c>
      <c r="I79" s="217">
        <f>H79/H74</f>
        <v>-0.21041223176965987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7447</v>
      </c>
      <c r="D81" s="101">
        <f>C81/$C$74</f>
        <v>1.4464238544369687E-2</v>
      </c>
      <c r="E81" s="214">
        <f>E74*F81</f>
        <v>7447</v>
      </c>
      <c r="F81" s="211">
        <f>I81</f>
        <v>1.4464238544369687E-2</v>
      </c>
      <c r="H81" s="256">
        <f>Inputs!F94</f>
        <v>7447</v>
      </c>
      <c r="I81" s="211">
        <f>H81/$H$74</f>
        <v>1.4464238544369687E-2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-115779</v>
      </c>
      <c r="D83" s="223">
        <f>C83/$C$74</f>
        <v>-0.22487647031402955</v>
      </c>
      <c r="E83" s="224">
        <f>E79-E81-E82-E80</f>
        <v>-115779</v>
      </c>
      <c r="F83" s="223">
        <f>E83/E74</f>
        <v>-0.22487647031402955</v>
      </c>
      <c r="H83" s="224">
        <f>H79-H81-H82-H80</f>
        <v>-115779</v>
      </c>
      <c r="I83" s="223">
        <f>H83/$H$74</f>
        <v>-0.22487647031402955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-86834.25</v>
      </c>
      <c r="D85" s="217">
        <f>C85/$C$74</f>
        <v>-0.16865735273552215</v>
      </c>
      <c r="E85" s="229">
        <f>E83*(1-F84)</f>
        <v>-86834.25</v>
      </c>
      <c r="F85" s="217">
        <f>E85/E74</f>
        <v>-0.16865735273552215</v>
      </c>
      <c r="G85" s="219"/>
      <c r="H85" s="229">
        <f>H83*(1-I84)</f>
        <v>-86834.25</v>
      </c>
      <c r="I85" s="217">
        <f>H85/$H$74</f>
        <v>-0.16865735273552215</v>
      </c>
      <c r="K85" s="75"/>
    </row>
    <row r="86" spans="1:11" ht="15" customHeight="1" x14ac:dyDescent="0.35">
      <c r="B86" s="3" t="s">
        <v>144</v>
      </c>
      <c r="C86" s="230">
        <f>C85*Data!C4/Common_Shares</f>
        <v>-4.7535870083059754E-2</v>
      </c>
      <c r="D86" s="98"/>
      <c r="E86" s="231">
        <f>E85*Data!C4/Common_Shares</f>
        <v>-4.7535870083059754E-2</v>
      </c>
      <c r="F86" s="98"/>
      <c r="H86" s="231">
        <f>H85*Data!C4/Common_Shares</f>
        <v>-4.7535870083059754E-2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-3.4446282668883881E-2</v>
      </c>
      <c r="D87" s="98"/>
      <c r="E87" s="233">
        <f>E86*Exchange_Rate/Dashboard!G3</f>
        <v>-3.4446282668883881E-2</v>
      </c>
      <c r="F87" s="98"/>
      <c r="H87" s="233">
        <f>H86*Exchange_Rate/Dashboard!G3</f>
        <v>-3.4446282668883881E-2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0.5</v>
      </c>
      <c r="D88" s="235">
        <f>C88/C86</f>
        <v>-10.51837273886744</v>
      </c>
      <c r="E88" s="255">
        <f>Inputs!E98</f>
        <v>0</v>
      </c>
      <c r="F88" s="235">
        <f>E88/E86</f>
        <v>0</v>
      </c>
      <c r="H88" s="255">
        <f>Inputs!F98</f>
        <v>0.03</v>
      </c>
      <c r="I88" s="235">
        <f>H88/H86</f>
        <v>-0.63110236433204636</v>
      </c>
      <c r="K88" s="75"/>
    </row>
    <row r="89" spans="1:11" ht="15" customHeight="1" x14ac:dyDescent="0.35">
      <c r="B89" s="3" t="s">
        <v>194</v>
      </c>
      <c r="C89" s="232">
        <f>C88*Exchange_Rate/Dashboard!G3</f>
        <v>0.3623188405797102</v>
      </c>
      <c r="D89" s="98"/>
      <c r="E89" s="232">
        <f>E88*Exchange_Rate/Dashboard!G3</f>
        <v>0</v>
      </c>
      <c r="F89" s="98"/>
      <c r="H89" s="232">
        <f>H88*Exchange_Rate/Dashboard!G3</f>
        <v>2.1739130434782608E-2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CN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183</v>
      </c>
      <c r="F93" s="237">
        <f>FV(E87,D93,0,-(E86/(C93-D94)))*Exchange_Rate</f>
        <v>-0.68861417436265993</v>
      </c>
      <c r="H93" s="3" t="s">
        <v>183</v>
      </c>
      <c r="I93" s="237">
        <f>FV(H87,D93,0,-(H86/(C93-D94)))*Exchange_Rate</f>
        <v>-0.68861417436265993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0</v>
      </c>
      <c r="H94" s="3" t="s">
        <v>184</v>
      </c>
      <c r="I94" s="237">
        <f>FV(H89,D93,0,-(H88/(C93-D94)))*Exchange_Rate</f>
        <v>0.54491668929856618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-719207.49823955272</v>
      </c>
      <c r="D97" s="244"/>
      <c r="E97" s="245">
        <f>PV(C94,D93,0,-F93)</f>
        <v>-0.3937173891532178</v>
      </c>
      <c r="F97" s="244"/>
      <c r="H97" s="245">
        <f>PV(C94,D93,0,-I93)</f>
        <v>-0.3937173891532178</v>
      </c>
      <c r="I97" s="245">
        <f>PV(C93,D93,0,-I93)</f>
        <v>-0.50615197521533717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1862292.9</v>
      </c>
      <c r="D99" s="248"/>
      <c r="E99" s="249">
        <f>IF(H99&gt;0,I64,H99)</f>
        <v>0.62625148087478089</v>
      </c>
      <c r="F99" s="248"/>
      <c r="H99" s="249">
        <f>I64</f>
        <v>0.62625148087478089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0.19765397796332862</v>
      </c>
      <c r="E100" s="251">
        <f>MAX(E97+H98+E99,0)</f>
        <v>0.23253409172156309</v>
      </c>
      <c r="F100" s="251">
        <f>(E100+H100)/2</f>
        <v>0.23253409172156309</v>
      </c>
      <c r="H100" s="251">
        <f>MAX(H97+H98+H99,0)</f>
        <v>0.23253409172156309</v>
      </c>
      <c r="I100" s="251">
        <f>MAX(I97+H98+H99,0)</f>
        <v>0.12009950565944372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0.15577894284213289</v>
      </c>
      <c r="H103" s="245">
        <f>PV(C94,D93,0,-I94)</f>
        <v>0.31155788568426579</v>
      </c>
      <c r="I103" s="251">
        <f>PV(C93,D93,0,-I94)</f>
        <v>0.40053003392145575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9.882698898166431E-2</v>
      </c>
      <c r="E106" s="245">
        <f>(E100+E103)/2</f>
        <v>0.11626704586078154</v>
      </c>
      <c r="F106" s="251">
        <f>(F100+F103)/2</f>
        <v>0.19415651728184799</v>
      </c>
      <c r="H106" s="245">
        <f>(H100+H103)/2</f>
        <v>0.27204598870291441</v>
      </c>
      <c r="I106" s="245">
        <f>(I100+I103)/2</f>
        <v>0.26031476979044976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45636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