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3C910A2-D1A2-4CF4-9B96-C92FF9161ED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C44" i="4"/>
  <c r="F95" i="4" l="1"/>
  <c r="E92" i="4"/>
  <c r="F92" i="4"/>
  <c r="E95" i="4"/>
  <c r="F9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<sst xmlns="http://schemas.openxmlformats.org/spreadsheetml/2006/main" count="405" uniqueCount="291">
  <si>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</si>
  <si>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</si>
  <si>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</si>
  <si>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</si>
  <si>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</si>
  <si>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</si>
  <si>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</si>
  <si>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</si>
  <si>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</si>
  <si>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</si>
  <si>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</si>
  <si>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</si>
  <si>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</si>
  <si>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</si>
  <si>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</si>
  <si>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</si>
  <si>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</si>
  <si>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</si>
  <si>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</si>
  <si>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</si>
  <si>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</si>
  <si>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</si>
  <si>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</si>
  <si>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</si>
  <si>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</si>
  <si>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</si>
  <si>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</si>
  <si>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</si>
  <si>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</si>
  <si>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</si>
  <si>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</si>
  <si>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</si>
  <si>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</si>
  <si>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</si>
  <si>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</si>
  <si>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</si>
  <si>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</si>
  <si>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</si>
  <si>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</si>
  <si>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</si>
  <si>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</si>
  <si>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</si>
  <si>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</si>
  <si>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</si>
  <si>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</si>
  <si>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</si>
  <si>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</si>
  <si>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</si>
  <si>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</si>
  <si>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</si>
  <si>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</si>
  <si>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</si>
  <si>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</si>
  <si>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</si>
  <si>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</si>
  <si>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</si>
  <si>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</si>
  <si>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</si>
  <si>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</si>
  <si>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</si>
  <si>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</si>
  <si>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</si>
  <si>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</si>
  <si>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</si>
  <si>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</si>
  <si>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</si>
  <si>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</si>
  <si>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</si>
  <si>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</si>
  <si>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</si>
  <si>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</si>
  <si>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</si>
  <si>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</si>
  <si>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</si>
  <si>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</si>
  <si>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</si>
  <si>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</si>
  <si>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</si>
  <si>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</si>
  <si>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</si>
  <si>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</si>
  <si>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</si>
  <si>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</si>
  <si>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</si>
  <si>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</si>
  <si>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</si>
  <si>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</si>
  <si>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</si>
  <si>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</si>
  <si>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</si>
  <si>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</si>
  <si>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</si>
  <si>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</si>
  <si>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</si>
  <si>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</si>
  <si>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</si>
  <si>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</si>
  <si>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</si>
  <si>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</si>
  <si>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</si>
  <si>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</si>
  <si>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</si>
  <si>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</si>
  <si>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</si>
  <si>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</si>
  <si>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</si>
  <si>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</si>
  <si>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</si>
  <si>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</si>
  <si>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</si>
  <si>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</si>
  <si>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</si>
  <si>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</si>
  <si>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</si>
  <si>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</si>
  <si>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</si>
  <si>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</si>
  <si>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</si>
  <si>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</si>
  <si>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</si>
  <si>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</si>
  <si>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</si>
  <si>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</si>
  <si>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</si>
  <si>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</si>
  <si>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</si>
  <si>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</si>
  <si>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</si>
  <si>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</si>
  <si>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</si>
  <si>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</si>
  <si>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</si>
  <si>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</si>
  <si>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</si>
  <si>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</si>
  <si>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</si>
  <si>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</si>
  <si>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</si>
  <si>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</si>
  <si>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</si>
  <si>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</si>
  <si>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</si>
  <si>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</si>
  <si>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</si>
  <si>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</si>
  <si>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</si>
  <si>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</si>
  <si>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</si>
  <si>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</si>
  <si>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</si>
  <si>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</si>
  <si>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</si>
  <si>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</si>
  <si>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</si>
  <si>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</si>
  <si>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</si>
  <si>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</si>
  <si>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</si>
  <si>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</si>
  <si>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</si>
  <si>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</si>
  <si>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</si>
  <si>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</si>
  <si>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</si>
  <si>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</si>
  <si>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</si>
  <si>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</si>
  <si>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</si>
  <si>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</si>
  <si>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</si>
  <si>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</si>
  <si>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</si>
  <si>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</si>
  <si>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</si>
  <si>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</si>
  <si>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</si>
  <si>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</si>
  <si>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</si>
  <si>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</si>
  <si>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</si>
  <si>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</si>
  <si>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</si>
  <si>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</si>
  <si>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</si>
  <si>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</si>
  <si>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</si>
  <si>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</si>
  <si>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</si>
  <si>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</si>
  <si>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</si>
  <si>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</si>
  <si>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</si>
  <si>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</si>
  <si>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</si>
  <si>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</si>
  <si>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</si>
  <si>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</si>
  <si>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</si>
  <si>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</si>
  <si>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</si>
  <si>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</si>
  <si>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</si>
  <si>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</si>
  <si>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</si>
  <si>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</si>
  <si>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</si>
  <si>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</si>
  <si>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</si>
  <si>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</si>
  <si>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</si>
  <si>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</si>
  <si>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</si>
  <si>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</si>
  <si>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</si>
  <si>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</si>
  <si>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</si>
  <si>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</si>
  <si>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</si>
  <si>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</si>
  <si>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</si>
  <si>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</si>
  <si>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</si>
  <si>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</si>
  <si>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</si>
  <si>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</si>
  <si>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</si>
  <si>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</si>
  <si>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</si>
  <si>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</si>
  <si>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</si>
  <si>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</si>
  <si>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</si>
  <si>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</si>
  <si>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</si>
  <si>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</si>
  <si>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</si>
  <si>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</si>
  <si>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</si>
  <si>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</si>
  <si>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</si>
  <si>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</si>
  <si>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</si>
  <si>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</si>
  <si>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</si>
  <si>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</si>
  <si>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</si>
  <si>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</si>
  <si>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</si>
  <si>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</si>
  <si>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</si>
  <si>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</si>
  <si>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</si>
  <si>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</si>
  <si>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</si>
  <si>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</si>
  <si>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</si>
  <si>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</si>
  <si>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</si>
  <si>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</si>
  <si>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</si>
  <si>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</si>
  <si>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</si>
  <si>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</si>
  <si>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</si>
  <si>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</si>
  <si>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</si>
  <si>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</si>
  <si>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</si>
  <si>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</si>
  <si>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</si>
  <si>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</si>
  <si>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</si>
  <si>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</si>
  <si>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</si>
  <si>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</si>
  <si>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</si>
  <si>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</si>
  <si>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</si>
  <si>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</si>
  <si>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</si>
  <si>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</si>
  <si>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</si>
  <si>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0811.HK</t>
  </si>
  <si>
    <t>新华文轩</t>
  </si>
  <si>
    <t xml:space="preserve">Superior Cycl. </t>
  </si>
  <si>
    <t>C0012</t>
  </si>
  <si>
    <t>CNY</t>
  </si>
  <si>
    <t>agree</t>
  </si>
  <si>
    <t>Strongly 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</si>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</sst>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282</v>
      </c>
      <c r="D4" s="66"/>
    </row>
    <row r="5" spans="1:5" x14ac:dyDescent="0.35">
      <c r="B5" s="46" t="s">
        <v>168</v>
      </c>
      <c r="C5" s="67" t="s">
        <v>283</v>
      </c>
    </row>
    <row r="6" spans="1:5" x14ac:dyDescent="0.35">
      <c r="B6" s="46" t="s">
        <v>268</v>
      </c>
      <c r="C6" s="68">
        <v>45604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284</v>
      </c>
    </row>
    <row r="9" spans="1:5" x14ac:dyDescent="0.35">
      <c r="B9" s="39" t="s">
        <v>189</v>
      </c>
      <c r="C9" s="119" t="s">
        <v>285</v>
      </c>
    </row>
    <row r="10" spans="1:5" x14ac:dyDescent="0.35">
      <c r="B10" s="39" t="s">
        <v>190</v>
      </c>
      <c r="C10" s="70">
        <v>1233841000</v>
      </c>
    </row>
    <row r="11" spans="1:5" x14ac:dyDescent="0.35">
      <c r="B11" s="39" t="s">
        <v>191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281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287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288</v>
      </c>
      <c r="D21" s="75"/>
    </row>
    <row r="22" spans="2:13" ht="69.75" x14ac:dyDescent="0.35">
      <c r="B22" s="59" t="s">
        <v>201</v>
      </c>
      <c r="C22" s="122" t="s">
        <v>289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11868490425.190001</v>
      </c>
      <c r="D25" s="77">
        <v>10930302487.299999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7386835892.0799999</v>
      </c>
      <c r="D26" s="78">
        <v>6956163862.6700001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3020689977.3999996</v>
      </c>
      <c r="D27" s="78">
        <v>2613446855.2799997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19979888.16</v>
      </c>
      <c r="D28" s="78">
        <v>14166706.34</v>
      </c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17875456.73</v>
      </c>
      <c r="D29" s="78">
        <v>20978186.489999998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-5437935.0599999996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49204300.670000002</v>
      </c>
      <c r="D31" s="78">
        <v>-5437935.0599999996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0.4+0.19</f>
        <v>0.59000000000000008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5.9985914487643871E-2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276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290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11868490425.190001</v>
      </c>
      <c r="D91" s="98"/>
      <c r="E91" s="99">
        <f>C91</f>
        <v>11868490425.190001</v>
      </c>
      <c r="F91" s="99">
        <f>C91</f>
        <v>11868490425.190001</v>
      </c>
    </row>
    <row r="92" spans="2:8" x14ac:dyDescent="0.35">
      <c r="B92" s="100" t="s">
        <v>97</v>
      </c>
      <c r="C92" s="97">
        <f>C26</f>
        <v>7386835892.0799999</v>
      </c>
      <c r="D92" s="101">
        <f>C92/C91</f>
        <v>0.6223905170283478</v>
      </c>
      <c r="E92" s="102">
        <f>E91*D92</f>
        <v>7386835892.0799999</v>
      </c>
      <c r="F92" s="102">
        <f>F91*D92</f>
        <v>7386835892.0799999</v>
      </c>
    </row>
    <row r="93" spans="2:8" x14ac:dyDescent="0.35">
      <c r="B93" s="100" t="s">
        <v>216</v>
      </c>
      <c r="C93" s="97">
        <f>C27+C28</f>
        <v>3040669865.5599995</v>
      </c>
      <c r="D93" s="101">
        <f>C93/C91</f>
        <v>0.25619685036829964</v>
      </c>
      <c r="E93" s="102">
        <f>E91*D93</f>
        <v>3040669865.5599995</v>
      </c>
      <c r="F93" s="102">
        <f>F91*D93</f>
        <v>3040669865.5599995</v>
      </c>
    </row>
    <row r="94" spans="2:8" x14ac:dyDescent="0.35">
      <c r="B94" s="100" t="s">
        <v>222</v>
      </c>
      <c r="C94" s="97">
        <f>C29</f>
        <v>17875456.73</v>
      </c>
      <c r="D94" s="101">
        <f>C94/C91</f>
        <v>1.5061272402478966E-3</v>
      </c>
      <c r="E94" s="103"/>
      <c r="F94" s="102">
        <f>F91*D94</f>
        <v>17875456.73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65605734.226666667</v>
      </c>
      <c r="D97" s="101">
        <f>C97/C91</f>
        <v>5.5277235668845723E-3</v>
      </c>
      <c r="E97" s="103"/>
      <c r="F97" s="102">
        <f>F91*D97</f>
        <v>65605734.226666667</v>
      </c>
    </row>
    <row r="98" spans="2:6" x14ac:dyDescent="0.35">
      <c r="B98" s="8" t="s">
        <v>180</v>
      </c>
      <c r="C98" s="104">
        <f>C44</f>
        <v>0.59000000000000008</v>
      </c>
      <c r="D98" s="105"/>
      <c r="E98" s="106">
        <f>F98</f>
        <v>0.59000000000000008</v>
      </c>
      <c r="F98" s="106">
        <f>C98</f>
        <v>0.59000000000000008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0811.HK : 新华文轩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0811.HK</v>
      </c>
      <c r="D3" s="313"/>
      <c r="E3" s="3"/>
      <c r="F3" s="9" t="s">
        <v>1</v>
      </c>
      <c r="G3" s="10">
        <v>10.44</v>
      </c>
      <c r="H3" s="11" t="s">
        <v>256</v>
      </c>
    </row>
    <row r="4" spans="1:10" ht="15.75" customHeight="1" x14ac:dyDescent="0.35">
      <c r="B4" s="12" t="s">
        <v>168</v>
      </c>
      <c r="C4" s="314" t="str">
        <f>Inputs!C5</f>
        <v>新华文轩</v>
      </c>
      <c r="D4" s="315"/>
      <c r="E4" s="3"/>
      <c r="F4" s="9" t="s">
        <v>2</v>
      </c>
      <c r="G4" s="318">
        <f>Inputs!C10</f>
        <v>1233841000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45604</v>
      </c>
      <c r="D5" s="317"/>
      <c r="E5" s="16"/>
      <c r="F5" s="12" t="s">
        <v>91</v>
      </c>
      <c r="G5" s="321">
        <f>G3*G4/1000000</f>
        <v>12881.30004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C0012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0.11588490903646796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1.5061272402478966E-3</v>
      </c>
      <c r="F24" s="39" t="s">
        <v>224</v>
      </c>
      <c r="G24" s="43">
        <f>G3/(Fin_Analysis!H86*G7)</f>
        <v>11.919545924036131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0.71500486253077544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5.9985914487643871E-2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6.4036335831333044</v>
      </c>
      <c r="D29" s="54">
        <f>G29*(1+G20)</f>
        <v>11.137859308838269</v>
      </c>
      <c r="E29" s="3"/>
      <c r="F29" s="55">
        <f>IF(Fin_Analysis!C108="Profit",Fin_Analysis!F100,IF(Fin_Analysis!C108="Dividend",Fin_Analysis!F103,Fin_Analysis!F106))</f>
        <v>7.533686568392123</v>
      </c>
      <c r="G29" s="320">
        <f>IF(Fin_Analysis!C108="Profit",Fin_Analysis!I100,IF(Fin_Analysis!C108="Dividend",Fin_Analysis!I103,Fin_Analysis!I106))</f>
        <v>9.6850950511637137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1375378933.3233342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11868490425.190001</v>
      </c>
      <c r="D6" s="142">
        <f>IF(Inputs!D25="","",Inputs!D25)</f>
        <v>10930302487.299999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8.5833666449770085E-2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7386835892.0799999</v>
      </c>
      <c r="D8" s="144">
        <f>IF(Inputs!D26="","",Inputs!D26)</f>
        <v>6956163862.6700001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4481654533.1100006</v>
      </c>
      <c r="D9" s="273">
        <f t="shared" si="2"/>
        <v>3974138624.6299992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3020689977.3999996</v>
      </c>
      <c r="D10" s="144">
        <f>IF(Inputs!D27="","",Inputs!D27)</f>
        <v>2613446855.2799997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19979888.16</v>
      </c>
      <c r="D11" s="144">
        <f>IF(Inputs!D28="","",Inputs!D28)</f>
        <v>14166706.34</v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65605734.226666667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0.11588490903646796</v>
      </c>
      <c r="D13" s="292">
        <f t="shared" si="3"/>
        <v>0.12319193037654147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1375378933.3233342</v>
      </c>
      <c r="D14" s="294">
        <f t="shared" ref="D14:M14" si="4">IF(D6="","",D9-D10-MAX(D11,0)-MAX(D12,0))</f>
        <v>1346525063.0099995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2.1428394543830654E-2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-1351962998.0699995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-5437935.0599999996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17875456.73</v>
      </c>
      <c r="D19" s="144">
        <f>IF(Inputs!D29="","",Inputs!D29)</f>
        <v>20978186.489999998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1357503476.5933342</v>
      </c>
      <c r="D24" s="309">
        <f t="shared" si="9"/>
        <v>1325546876.5199995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8.5784086347165056E-2</v>
      </c>
      <c r="D25" s="143">
        <f t="shared" si="10"/>
        <v>9.0954496322962861E-2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1018127607.4450006</v>
      </c>
      <c r="D26" s="276">
        <f>IF(D6="","",D24*(1-Fin_Analysis!$I$84))</f>
        <v>994160157.38999963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2.4108238372701971E-2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0.6223905170283478</v>
      </c>
      <c r="D42" s="150">
        <f t="shared" si="35"/>
        <v>0.63641092007768485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0.25619685036829964</v>
      </c>
      <c r="D43" s="146">
        <f t="shared" si="36"/>
        <v>0.24039714954577368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1.5061272402478966E-3</v>
      </c>
      <c r="D45" s="146">
        <f t="shared" si="38"/>
        <v>1.9192686125909793E-3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5.5277235668845723E-3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0.11437878179622006</v>
      </c>
      <c r="D48" s="281">
        <f t="shared" si="41"/>
        <v>0.12127266176395049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1.316789020302077E-2</v>
      </c>
      <c r="D57" s="146">
        <f t="shared" si="48"/>
        <v>1.5826061576241422E-2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11868490425.190001</v>
      </c>
      <c r="D74" s="98"/>
      <c r="E74" s="256">
        <f>Inputs!E91</f>
        <v>11868490425.190001</v>
      </c>
      <c r="F74" s="98"/>
      <c r="H74" s="256">
        <f>Inputs!F91</f>
        <v>11868490425.190001</v>
      </c>
      <c r="I74" s="98"/>
      <c r="K74" s="75"/>
    </row>
    <row r="75" spans="1:11" ht="15" customHeight="1" x14ac:dyDescent="0.35">
      <c r="B75" s="100" t="s">
        <v>97</v>
      </c>
      <c r="C75" s="97">
        <f>Data!C8</f>
        <v>7386835892.0799999</v>
      </c>
      <c r="D75" s="101">
        <f>C75/$C$74</f>
        <v>0.6223905170283478</v>
      </c>
      <c r="E75" s="256">
        <f>Inputs!E92</f>
        <v>7386835892.0799999</v>
      </c>
      <c r="F75" s="211">
        <f>E75/E74</f>
        <v>0.6223905170283478</v>
      </c>
      <c r="H75" s="256">
        <f>Inputs!F92</f>
        <v>7386835892.0799999</v>
      </c>
      <c r="I75" s="211">
        <f>H75/$H$74</f>
        <v>0.6223905170283478</v>
      </c>
      <c r="K75" s="75"/>
    </row>
    <row r="76" spans="1:11" ht="15" customHeight="1" x14ac:dyDescent="0.35">
      <c r="B76" s="12" t="s">
        <v>87</v>
      </c>
      <c r="C76" s="145">
        <f>C74-C75</f>
        <v>4481654533.1100006</v>
      </c>
      <c r="D76" s="212"/>
      <c r="E76" s="213">
        <f>E74-E75</f>
        <v>4481654533.1100006</v>
      </c>
      <c r="F76" s="212"/>
      <c r="H76" s="213">
        <f>H74-H75</f>
        <v>4481654533.1100006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3040669865.5599995</v>
      </c>
      <c r="D77" s="101">
        <f>C77/$C$74</f>
        <v>0.25619685036829964</v>
      </c>
      <c r="E77" s="256">
        <f>Inputs!E93</f>
        <v>3040669865.5599995</v>
      </c>
      <c r="F77" s="211">
        <f>E77/E74</f>
        <v>0.25619685036829964</v>
      </c>
      <c r="H77" s="256">
        <f>Inputs!F93</f>
        <v>3040669865.5599995</v>
      </c>
      <c r="I77" s="211">
        <f>H77/$H$74</f>
        <v>0.25619685036829964</v>
      </c>
      <c r="K77" s="75"/>
    </row>
    <row r="78" spans="1:11" ht="15" customHeight="1" x14ac:dyDescent="0.35">
      <c r="B78" s="93" t="s">
        <v>150</v>
      </c>
      <c r="C78" s="97">
        <f>MAX(Data!C12,0)</f>
        <v>65605734.226666667</v>
      </c>
      <c r="D78" s="101">
        <f>C78/$C$74</f>
        <v>5.5277235668845723E-3</v>
      </c>
      <c r="E78" s="214">
        <f>E74*F78</f>
        <v>65605734.226666667</v>
      </c>
      <c r="F78" s="211">
        <f>I78</f>
        <v>5.5277235668845723E-3</v>
      </c>
      <c r="H78" s="256">
        <f>Inputs!F97</f>
        <v>65605734.226666667</v>
      </c>
      <c r="I78" s="211">
        <f>H78/$H$74</f>
        <v>5.5277235668845723E-3</v>
      </c>
      <c r="K78" s="75"/>
    </row>
    <row r="79" spans="1:11" ht="15" customHeight="1" x14ac:dyDescent="0.35">
      <c r="B79" s="215" t="s">
        <v>203</v>
      </c>
      <c r="C79" s="216">
        <f>C76-C77-C78</f>
        <v>1375378933.3233345</v>
      </c>
      <c r="D79" s="217">
        <f>C79/C74</f>
        <v>0.11588490903646799</v>
      </c>
      <c r="E79" s="218">
        <f>E76-E77-E78</f>
        <v>1375378933.3233345</v>
      </c>
      <c r="F79" s="217">
        <f>E79/E74</f>
        <v>0.11588490903646799</v>
      </c>
      <c r="G79" s="219"/>
      <c r="H79" s="218">
        <f>H76-H77-H78</f>
        <v>1375378933.3233345</v>
      </c>
      <c r="I79" s="217">
        <f>H79/H74</f>
        <v>0.11588490903646799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17875456.73</v>
      </c>
      <c r="D81" s="101">
        <f>C81/$C$74</f>
        <v>1.5061272402478966E-3</v>
      </c>
      <c r="E81" s="214">
        <f>E74*F81</f>
        <v>17875456.73</v>
      </c>
      <c r="F81" s="211">
        <f>I81</f>
        <v>1.5061272402478966E-3</v>
      </c>
      <c r="H81" s="256">
        <f>Inputs!F94</f>
        <v>17875456.73</v>
      </c>
      <c r="I81" s="211">
        <f>H81/$H$74</f>
        <v>1.5061272402478966E-3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1357503476.5933344</v>
      </c>
      <c r="D83" s="223">
        <f>C83/$C$74</f>
        <v>0.11437878179622009</v>
      </c>
      <c r="E83" s="224">
        <f>E79-E81-E82-E80</f>
        <v>1357503476.5933344</v>
      </c>
      <c r="F83" s="223">
        <f>E83/E74</f>
        <v>0.11437878179622009</v>
      </c>
      <c r="H83" s="224">
        <f>H79-H81-H82-H80</f>
        <v>1357503476.5933344</v>
      </c>
      <c r="I83" s="223">
        <f>H83/$H$74</f>
        <v>0.11437878179622009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1018127607.4450009</v>
      </c>
      <c r="D85" s="217">
        <f>C85/$C$74</f>
        <v>8.578408634716507E-2</v>
      </c>
      <c r="E85" s="229">
        <f>E83*(1-F84)</f>
        <v>1018127607.4450009</v>
      </c>
      <c r="F85" s="217">
        <f>E85/E74</f>
        <v>8.578408634716507E-2</v>
      </c>
      <c r="G85" s="219"/>
      <c r="H85" s="229">
        <f>H83*(1-I84)</f>
        <v>1018127607.4450009</v>
      </c>
      <c r="I85" s="217">
        <f>H85/$H$74</f>
        <v>8.578408634716507E-2</v>
      </c>
      <c r="K85" s="75"/>
    </row>
    <row r="86" spans="1:11" ht="15" customHeight="1" x14ac:dyDescent="0.35">
      <c r="B86" s="3" t="s">
        <v>143</v>
      </c>
      <c r="C86" s="230">
        <f>C85*Data!C4/Common_Shares</f>
        <v>0.82516921341161531</v>
      </c>
      <c r="D86" s="98"/>
      <c r="E86" s="231">
        <f>E85*Data!C4/Common_Shares</f>
        <v>0.82516921341161531</v>
      </c>
      <c r="F86" s="98"/>
      <c r="H86" s="231">
        <f>H85*Data!C4/Common_Shares</f>
        <v>0.82516921341161531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8.3895813344992395E-2</v>
      </c>
      <c r="D87" s="98"/>
      <c r="E87" s="233">
        <f>E86*Exchange_Rate/Dashboard!G3</f>
        <v>8.3895813344992395E-2</v>
      </c>
      <c r="F87" s="98"/>
      <c r="H87" s="233">
        <f>H86*Exchange_Rate/Dashboard!G3</f>
        <v>8.3895813344992395E-2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0.59000000000000008</v>
      </c>
      <c r="D88" s="235">
        <f>C88/C86</f>
        <v>0.71500486253077544</v>
      </c>
      <c r="E88" s="255">
        <f>Inputs!E98</f>
        <v>0.59000000000000008</v>
      </c>
      <c r="F88" s="235">
        <f>E88/E86</f>
        <v>0.71500486253077544</v>
      </c>
      <c r="H88" s="255">
        <f>Inputs!F98</f>
        <v>0.59000000000000008</v>
      </c>
      <c r="I88" s="235">
        <f>H88/H86</f>
        <v>0.71500486253077544</v>
      </c>
      <c r="K88" s="75"/>
    </row>
    <row r="89" spans="1:11" ht="15" customHeight="1" x14ac:dyDescent="0.35">
      <c r="B89" s="3" t="s">
        <v>193</v>
      </c>
      <c r="C89" s="232">
        <f>C88*Exchange_Rate/Dashboard!G3</f>
        <v>5.9985914487643871E-2</v>
      </c>
      <c r="D89" s="98"/>
      <c r="E89" s="232">
        <f>E88*Exchange_Rate/Dashboard!G3</f>
        <v>5.9985914487643871E-2</v>
      </c>
      <c r="F89" s="98"/>
      <c r="H89" s="232">
        <f>H88*Exchange_Rate/Dashboard!G3</f>
        <v>5.9985914487643871E-2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20.148359544918531</v>
      </c>
      <c r="H93" s="3" t="s">
        <v>182</v>
      </c>
      <c r="I93" s="237">
        <f>FV(H87,D93,0,-(H86/(C93-D94)))*Exchange_Rate</f>
        <v>20.148359544918531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13.176464893658871</v>
      </c>
      <c r="H94" s="3" t="s">
        <v>183</v>
      </c>
      <c r="I94" s="237">
        <f>FV(H89,D93,0,-(H88/(C93-D94)))*Exchange_Rate</f>
        <v>13.176464893658871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14213712552.063112</v>
      </c>
      <c r="D97" s="244"/>
      <c r="E97" s="245">
        <f>PV(C94,D93,0,-F93)</f>
        <v>11.519889963182543</v>
      </c>
      <c r="F97" s="244"/>
      <c r="H97" s="245">
        <f>PV(C94,D93,0,-I93)</f>
        <v>11.519889963182543</v>
      </c>
      <c r="I97" s="245">
        <f>PV(C93,D93,0,-I93)</f>
        <v>14.809645750391482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9.7919064687051609</v>
      </c>
      <c r="E100" s="251">
        <f>MAX(E97+H98+E99,0)</f>
        <v>11.519889963182543</v>
      </c>
      <c r="F100" s="251">
        <f>(E100+H100)/2</f>
        <v>11.519889963182543</v>
      </c>
      <c r="H100" s="251">
        <f>MAX(H97+H98+H99,0)</f>
        <v>11.519889963182543</v>
      </c>
      <c r="I100" s="251">
        <f>MAX(I97+H98+H99,0)</f>
        <v>14.809645750391482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6.4036335831333044</v>
      </c>
      <c r="E103" s="245">
        <f>PV(C94,D93,0,-F94)</f>
        <v>7.533686568392123</v>
      </c>
      <c r="F103" s="251">
        <f>(E103+H103)/2</f>
        <v>7.533686568392123</v>
      </c>
      <c r="H103" s="245">
        <f>PV(C94,D93,0,-I94)</f>
        <v>7.533686568392123</v>
      </c>
      <c r="I103" s="251">
        <f>PV(C93,D93,0,-I94)</f>
        <v>9.6850950511637137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8.0977700259192318</v>
      </c>
      <c r="E106" s="245">
        <f>(E100+E103)/2</f>
        <v>9.5267882657873333</v>
      </c>
      <c r="F106" s="251">
        <f>(F100+F103)/2</f>
        <v>9.5267882657873333</v>
      </c>
      <c r="H106" s="245">
        <f>(H100+H103)/2</f>
        <v>9.5267882657873333</v>
      </c>
      <c r="I106" s="245">
        <f>(I100+I103)/2</f>
        <v>12.247370400777598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45604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