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B773EAA-5F5F-44F1-8DC4-B1443B4ADCD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F95" i="4" l="1"/>
  <c r="D53" i="4"/>
  <c r="D17" i="2"/>
  <c r="E17" i="2"/>
  <c r="F17" i="2"/>
  <c r="G17" i="2"/>
  <c r="H17" i="2"/>
  <c r="I17" i="2"/>
  <c r="J17" i="2"/>
  <c r="K17" i="2"/>
  <c r="L17" i="2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47" i="2"/>
  <c r="K47" i="2"/>
  <c r="I47" i="2"/>
  <c r="J47" i="2"/>
  <c r="F47" i="2"/>
  <c r="C47" i="2"/>
  <c r="M24" i="2"/>
  <c r="M61" i="2" s="1"/>
  <c r="M47" i="2"/>
  <c r="L46" i="2"/>
  <c r="I46" i="2"/>
  <c r="K46" i="2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L14" i="2" s="1"/>
  <c r="I9" i="2"/>
  <c r="I14" i="2" s="1"/>
  <c r="D7" i="2"/>
  <c r="K9" i="2"/>
  <c r="K14" i="2" s="1"/>
  <c r="J9" i="2"/>
  <c r="J14" i="2" s="1"/>
  <c r="E102" i="3"/>
  <c r="H102" i="3"/>
  <c r="C93" i="3"/>
  <c r="I94" i="3" s="1"/>
  <c r="J60" i="2" l="1"/>
  <c r="J16" i="2"/>
  <c r="J24" i="2"/>
  <c r="J61" i="2" s="1"/>
  <c r="I60" i="2"/>
  <c r="I16" i="2"/>
  <c r="I24" i="2"/>
  <c r="I61" i="2" s="1"/>
  <c r="K16" i="2"/>
  <c r="K24" i="2"/>
  <c r="K61" i="2" s="1"/>
  <c r="L16" i="2"/>
  <c r="L24" i="2"/>
  <c r="L61" i="2" s="1"/>
  <c r="H60" i="2"/>
  <c r="H16" i="2"/>
  <c r="E40" i="2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L26" i="2"/>
  <c r="L25" i="2" s="1"/>
  <c r="M57" i="2"/>
  <c r="M56" i="2"/>
  <c r="K56" i="2" l="1"/>
  <c r="H75" i="3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<sst xmlns="http://schemas.openxmlformats.org/spreadsheetml/2006/main" count="405" uniqueCount="292">
  <si>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</si>
  <si>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</si>
  <si>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</si>
  <si>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</si>
  <si>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</si>
  <si>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</si>
  <si>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</si>
  <si>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</si>
  <si>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</si>
  <si>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</si>
  <si>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</si>
  <si>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</si>
  <si>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</si>
  <si>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</si>
  <si>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</si>
  <si>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</si>
  <si>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</si>
  <si>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</si>
  <si>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</si>
  <si>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</si>
  <si>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</si>
  <si>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</si>
  <si>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</si>
  <si>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</si>
  <si>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</si>
  <si>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</si>
  <si>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</si>
  <si>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</si>
  <si>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</si>
  <si>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</si>
  <si>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</si>
  <si>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</si>
  <si>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</si>
  <si>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</si>
  <si>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</si>
  <si>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</si>
  <si>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</si>
  <si>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</si>
  <si>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</si>
  <si>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</si>
  <si>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</si>
  <si>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</si>
  <si>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</si>
  <si>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</si>
  <si>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</si>
  <si>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</si>
  <si>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</si>
  <si>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</si>
  <si>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</si>
  <si>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</si>
  <si>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</si>
  <si>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</si>
  <si>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</si>
  <si>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</si>
  <si>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</si>
  <si>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</si>
  <si>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</si>
  <si>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</si>
  <si>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</si>
  <si>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</si>
  <si>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</si>
  <si>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</si>
  <si>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</si>
  <si>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</si>
  <si>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</si>
  <si>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</si>
  <si>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</si>
  <si>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</si>
  <si>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</si>
  <si>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</si>
  <si>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</si>
  <si>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</si>
  <si>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</si>
  <si>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</si>
  <si>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</si>
  <si>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</si>
  <si>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</si>
  <si>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</si>
  <si>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</si>
  <si>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</si>
  <si>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</si>
  <si>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</si>
  <si>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</si>
  <si>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</si>
  <si>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</si>
  <si>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</si>
  <si>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</si>
  <si>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</si>
  <si>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</si>
  <si>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</si>
  <si>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</si>
  <si>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</si>
  <si>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</si>
  <si>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</si>
  <si>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</si>
  <si>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</si>
  <si>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</si>
  <si>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</si>
  <si>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</si>
  <si>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</si>
  <si>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</si>
  <si>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</si>
  <si>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</si>
  <si>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</si>
  <si>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</si>
  <si>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</si>
  <si>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</si>
  <si>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</si>
  <si>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</si>
  <si>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</si>
  <si>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</si>
  <si>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</si>
  <si>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</si>
  <si>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</si>
  <si>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</si>
  <si>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</si>
  <si>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</si>
  <si>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</si>
  <si>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</si>
  <si>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</si>
  <si>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</si>
  <si>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</si>
  <si>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</si>
  <si>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</si>
  <si>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</si>
  <si>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</si>
  <si>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</si>
  <si>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</si>
  <si>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</si>
  <si>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</si>
  <si>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</si>
  <si>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</si>
  <si>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</si>
  <si>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</si>
  <si>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</si>
  <si>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</si>
  <si>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</si>
  <si>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</si>
  <si>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</si>
  <si>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</si>
  <si>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</si>
  <si>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</si>
  <si>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</si>
  <si>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</si>
  <si>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</si>
  <si>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</si>
  <si>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</si>
  <si>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</si>
  <si>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</si>
  <si>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</si>
  <si>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</si>
  <si>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</si>
  <si>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</si>
  <si>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</si>
  <si>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</si>
  <si>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</si>
  <si>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</si>
  <si>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</si>
  <si>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</si>
  <si>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</si>
  <si>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</si>
  <si>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</si>
  <si>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</si>
  <si>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</si>
  <si>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</si>
  <si>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</si>
  <si>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</si>
  <si>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</si>
  <si>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</si>
  <si>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</si>
  <si>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</si>
  <si>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</si>
  <si>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</si>
  <si>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</si>
  <si>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</si>
  <si>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</si>
  <si>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</si>
  <si>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</si>
  <si>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</si>
  <si>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</si>
  <si>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</si>
  <si>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</si>
  <si>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</si>
  <si>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</si>
  <si>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</si>
  <si>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</si>
  <si>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</si>
  <si>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</si>
  <si>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</si>
  <si>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</si>
  <si>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</si>
  <si>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</si>
  <si>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</si>
  <si>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</si>
  <si>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</si>
  <si>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</si>
  <si>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</si>
  <si>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</si>
  <si>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</si>
  <si>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</si>
  <si>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</si>
  <si>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</si>
  <si>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</si>
  <si>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</si>
  <si>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</si>
  <si>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</si>
  <si>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</si>
  <si>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</si>
  <si>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</si>
  <si>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</si>
  <si>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</si>
  <si>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</si>
  <si>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</si>
  <si>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</si>
  <si>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</si>
  <si>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</si>
  <si>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</si>
  <si>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</si>
  <si>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</si>
  <si>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</si>
  <si>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</si>
  <si>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</si>
  <si>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</si>
  <si>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</si>
  <si>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</si>
  <si>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</si>
  <si>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</si>
  <si>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</si>
  <si>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</si>
  <si>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</si>
  <si>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</si>
  <si>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</si>
  <si>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</si>
  <si>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</si>
  <si>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</si>
  <si>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</si>
  <si>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</si>
  <si>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</si>
  <si>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</si>
  <si>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</si>
  <si>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</si>
  <si>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</si>
  <si>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</si>
  <si>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</si>
  <si>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</si>
  <si>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</si>
  <si>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</si>
  <si>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</si>
  <si>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</si>
  <si>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</si>
  <si>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</si>
  <si>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</si>
  <si>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</si>
  <si>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</si>
  <si>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</si>
  <si>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</si>
  <si>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</si>
  <si>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</si>
  <si>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</si>
  <si>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</si>
  <si>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</si>
  <si>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</si>
  <si>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</si>
  <si>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</si>
  <si>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</si>
  <si>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</si>
  <si>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</si>
  <si>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</si>
  <si>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</si>
  <si>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</si>
  <si>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</si>
  <si>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</si>
  <si>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</si>
  <si>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</si>
  <si>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</si>
  <si>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</si>
  <si>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</si>
  <si>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</si>
  <si>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</si>
  <si>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</si>
  <si>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</si>
  <si>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</si>
  <si>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0857.HK</t>
  </si>
  <si>
    <t>中國石油股份</t>
  </si>
  <si>
    <t xml:space="preserve">Superior Cycl. </t>
  </si>
  <si>
    <t>C0013</t>
  </si>
  <si>
    <t>CNY</t>
  </si>
  <si>
    <t>Strongly agree</t>
  </si>
  <si>
    <t>agree</t>
  </si>
  <si>
    <t>disagree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</si>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</sst>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282</v>
      </c>
      <c r="D4" s="66"/>
    </row>
    <row r="5" spans="1:5" x14ac:dyDescent="0.35">
      <c r="B5" s="46" t="s">
        <v>168</v>
      </c>
      <c r="C5" s="67" t="s">
        <v>283</v>
      </c>
    </row>
    <row r="6" spans="1:5" x14ac:dyDescent="0.35">
      <c r="B6" s="46" t="s">
        <v>268</v>
      </c>
      <c r="C6" s="68">
        <v>45605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284</v>
      </c>
    </row>
    <row r="9" spans="1:5" x14ac:dyDescent="0.35">
      <c r="B9" s="39" t="s">
        <v>189</v>
      </c>
      <c r="C9" s="119" t="s">
        <v>285</v>
      </c>
    </row>
    <row r="10" spans="1:5" x14ac:dyDescent="0.35">
      <c r="B10" s="39" t="s">
        <v>190</v>
      </c>
      <c r="C10" s="70">
        <v>183020977818</v>
      </c>
    </row>
    <row r="11" spans="1:5" x14ac:dyDescent="0.35">
      <c r="B11" s="39" t="s">
        <v>191</v>
      </c>
      <c r="C11" s="69" t="s">
        <v>286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281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287</v>
      </c>
      <c r="D17" s="75"/>
    </row>
    <row r="18" spans="2:13" x14ac:dyDescent="0.35">
      <c r="B18" s="56" t="s">
        <v>209</v>
      </c>
      <c r="C18" s="121" t="s">
        <v>288</v>
      </c>
      <c r="D18" s="75"/>
    </row>
    <row r="19" spans="2:13" x14ac:dyDescent="0.35">
      <c r="B19" s="56" t="s">
        <v>210</v>
      </c>
      <c r="C19" s="121" t="s">
        <v>289</v>
      </c>
      <c r="D19" s="75"/>
    </row>
    <row r="20" spans="2:13" x14ac:dyDescent="0.35">
      <c r="B20" s="57" t="s">
        <v>199</v>
      </c>
      <c r="C20" s="121" t="s">
        <v>288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290</v>
      </c>
      <c r="D22" s="75"/>
    </row>
    <row r="24" spans="2:13" x14ac:dyDescent="0.35">
      <c r="B24" s="76" t="s">
        <v>277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3011012</v>
      </c>
      <c r="D25" s="77">
        <v>3239167</v>
      </c>
      <c r="E25" s="77">
        <v>2614349</v>
      </c>
      <c r="F25" s="77">
        <v>1933836</v>
      </c>
      <c r="G25" s="77">
        <v>2516810</v>
      </c>
      <c r="H25" s="77">
        <v>2374934</v>
      </c>
      <c r="I25" s="77">
        <v>2015890</v>
      </c>
      <c r="J25" s="77">
        <v>1616903</v>
      </c>
      <c r="K25" s="77">
        <v>1725428</v>
      </c>
      <c r="L25" s="77">
        <v>2282962</v>
      </c>
      <c r="M25" s="77"/>
    </row>
    <row r="26" spans="2:13" x14ac:dyDescent="0.35">
      <c r="B26" s="264" t="s">
        <v>97</v>
      </c>
      <c r="C26" s="78">
        <v>2597400</v>
      </c>
      <c r="D26" s="78">
        <v>2804756</v>
      </c>
      <c r="E26" s="78">
        <v>2298168</v>
      </c>
      <c r="F26" s="78">
        <v>1741508</v>
      </c>
      <c r="G26" s="78">
        <v>2229308</v>
      </c>
      <c r="H26" s="78">
        <v>2058853</v>
      </c>
      <c r="I26" s="78">
        <v>1780340</v>
      </c>
      <c r="J26" s="78">
        <v>1423553</v>
      </c>
      <c r="K26" s="78">
        <v>1500674</v>
      </c>
      <c r="L26" s="78">
        <v>1963128</v>
      </c>
      <c r="M26" s="78"/>
    </row>
    <row r="27" spans="2:13" x14ac:dyDescent="0.35">
      <c r="B27" s="264" t="s">
        <v>95</v>
      </c>
      <c r="C27" s="78">
        <v>125283</v>
      </c>
      <c r="D27" s="78">
        <v>118875</v>
      </c>
      <c r="E27" s="78">
        <v>122996</v>
      </c>
      <c r="F27" s="78">
        <v>126791</v>
      </c>
      <c r="G27" s="78">
        <v>135865</v>
      </c>
      <c r="H27" s="78">
        <v>137231</v>
      </c>
      <c r="I27" s="78">
        <v>143632</v>
      </c>
      <c r="J27" s="78">
        <v>139934</v>
      </c>
      <c r="K27" s="78">
        <v>142620</v>
      </c>
      <c r="L27" s="78">
        <v>147802</v>
      </c>
      <c r="M27" s="78"/>
    </row>
    <row r="28" spans="2:13" x14ac:dyDescent="0.35">
      <c r="B28" s="264" t="s">
        <v>98</v>
      </c>
      <c r="C28" s="78">
        <v>21957</v>
      </c>
      <c r="D28" s="78">
        <v>20016</v>
      </c>
      <c r="E28" s="78">
        <v>16729</v>
      </c>
      <c r="F28" s="78">
        <v>15746</v>
      </c>
      <c r="G28" s="78">
        <v>15666</v>
      </c>
      <c r="H28" s="78">
        <v>12826</v>
      </c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24063</v>
      </c>
      <c r="D29" s="78">
        <v>21554</v>
      </c>
      <c r="E29" s="78">
        <v>19739</v>
      </c>
      <c r="F29" s="78">
        <v>26528</v>
      </c>
      <c r="G29" s="78">
        <v>30409</v>
      </c>
      <c r="H29" s="78">
        <v>22718</v>
      </c>
      <c r="I29" s="78">
        <v>21648</v>
      </c>
      <c r="J29" s="78">
        <v>20652</v>
      </c>
      <c r="K29" s="78">
        <v>23826</v>
      </c>
      <c r="L29" s="78">
        <v>24877</v>
      </c>
      <c r="M29" s="78"/>
    </row>
    <row r="30" spans="2:13" x14ac:dyDescent="0.35">
      <c r="B30" s="303" t="s">
        <v>275</v>
      </c>
      <c r="C30" s="302"/>
      <c r="D30" s="302">
        <v>20705</v>
      </c>
      <c r="E30" s="302">
        <v>22526</v>
      </c>
      <c r="F30" s="302">
        <v>14479</v>
      </c>
      <c r="G30" s="302">
        <v>21333</v>
      </c>
      <c r="H30" s="302">
        <v>20944</v>
      </c>
      <c r="I30" s="302">
        <v>13995</v>
      </c>
      <c r="J30" s="302">
        <v>21514</v>
      </c>
      <c r="K30" s="302">
        <v>6711</v>
      </c>
      <c r="L30" s="302">
        <v>11861</v>
      </c>
      <c r="M30" s="302"/>
    </row>
    <row r="31" spans="2:13" x14ac:dyDescent="0.35">
      <c r="B31" s="266" t="s">
        <v>102</v>
      </c>
      <c r="C31" s="78">
        <v>20681</v>
      </c>
      <c r="D31" s="78">
        <v>20705</v>
      </c>
      <c r="E31" s="78">
        <v>22526</v>
      </c>
      <c r="F31" s="78">
        <v>14479</v>
      </c>
      <c r="G31" s="78">
        <v>21333</v>
      </c>
      <c r="H31" s="78">
        <v>20944</v>
      </c>
      <c r="I31" s="78">
        <v>13995</v>
      </c>
      <c r="J31" s="78">
        <v>21514</v>
      </c>
      <c r="K31" s="78">
        <v>6711</v>
      </c>
      <c r="L31" s="78">
        <v>11861</v>
      </c>
      <c r="M31" s="78"/>
    </row>
    <row r="32" spans="2:13" x14ac:dyDescent="0.35">
      <c r="B32" s="264" t="s">
        <v>101</v>
      </c>
      <c r="C32" s="78">
        <v>-13105</v>
      </c>
      <c r="D32" s="78">
        <v>46237</v>
      </c>
      <c r="E32" s="78">
        <v>27617</v>
      </c>
      <c r="F32" s="78">
        <v>-71716</v>
      </c>
      <c r="G32" s="78">
        <v>-28895</v>
      </c>
      <c r="H32" s="78">
        <v>-2436</v>
      </c>
      <c r="I32" s="78">
        <v>-64518</v>
      </c>
      <c r="J32" s="78">
        <v>-5969</v>
      </c>
      <c r="K32" s="78">
        <v>-4437</v>
      </c>
      <c r="L32" s="78">
        <v>-34533</v>
      </c>
      <c r="M32" s="78"/>
    </row>
    <row r="33" spans="2:13" x14ac:dyDescent="0.35">
      <c r="B33" s="264" t="s">
        <v>96</v>
      </c>
      <c r="C33" s="78">
        <v>247452</v>
      </c>
      <c r="D33" s="78">
        <v>238036</v>
      </c>
      <c r="E33" s="78">
        <v>204743</v>
      </c>
      <c r="F33" s="78">
        <v>198511</v>
      </c>
      <c r="G33" s="78">
        <v>211847</v>
      </c>
      <c r="H33" s="78">
        <v>202355</v>
      </c>
      <c r="I33" s="78">
        <v>219432</v>
      </c>
      <c r="J33" s="78">
        <v>209651</v>
      </c>
      <c r="K33" s="78">
        <v>177858</v>
      </c>
      <c r="L33" s="78">
        <v>173981</v>
      </c>
      <c r="M33" s="78"/>
    </row>
    <row r="34" spans="2:13" x14ac:dyDescent="0.35">
      <c r="B34" s="264" t="s">
        <v>99</v>
      </c>
      <c r="C34" s="78">
        <v>282519</v>
      </c>
      <c r="D34" s="78">
        <v>243752</v>
      </c>
      <c r="E34" s="78">
        <v>251178</v>
      </c>
      <c r="F34" s="78">
        <v>246493</v>
      </c>
      <c r="G34" s="78">
        <v>296776</v>
      </c>
      <c r="H34" s="78">
        <v>256106</v>
      </c>
      <c r="I34" s="78">
        <v>216227</v>
      </c>
      <c r="J34" s="78">
        <v>172386</v>
      </c>
      <c r="K34" s="78">
        <v>202238</v>
      </c>
      <c r="L34" s="78">
        <v>291729</v>
      </c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v>1090144</v>
      </c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1678153</v>
      </c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188249</v>
      </c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0.22+0.23</f>
        <v>0.45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7.6180311481348073E-2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>
        <v>238880</v>
      </c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>
        <v>142879</v>
      </c>
      <c r="D50" s="109">
        <f>D51</f>
        <v>0.6</v>
      </c>
      <c r="E50" s="260"/>
    </row>
    <row r="51" spans="2:5" x14ac:dyDescent="0.35">
      <c r="B51" s="9" t="s">
        <v>34</v>
      </c>
      <c r="C51" s="86">
        <v>9895</v>
      </c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>
        <v>11851</v>
      </c>
      <c r="D53" s="109">
        <f>D50</f>
        <v>0.6</v>
      </c>
      <c r="E53" s="260"/>
    </row>
    <row r="54" spans="2:5" x14ac:dyDescent="0.35">
      <c r="B54" s="9" t="s">
        <v>226</v>
      </c>
      <c r="C54" s="86">
        <v>24847</v>
      </c>
      <c r="D54" s="109">
        <v>0.1</v>
      </c>
      <c r="E54" s="260"/>
    </row>
    <row r="55" spans="2:5" x14ac:dyDescent="0.35">
      <c r="B55" s="9" t="s">
        <v>39</v>
      </c>
      <c r="C55" s="86">
        <v>182674</v>
      </c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>
        <v>61345</v>
      </c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>
        <v>693</v>
      </c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>
        <v>292606</v>
      </c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>
        <v>201156</v>
      </c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>
        <v>1413348</v>
      </c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>
        <v>91529</v>
      </c>
      <c r="D70" s="109">
        <v>0.05</v>
      </c>
      <c r="E70" s="260"/>
    </row>
    <row r="71" spans="2:5" x14ac:dyDescent="0.35">
      <c r="B71" s="9" t="s">
        <v>67</v>
      </c>
      <c r="C71" s="86">
        <v>24707</v>
      </c>
      <c r="D71" s="109">
        <f>D58</f>
        <v>0.9</v>
      </c>
      <c r="E71" s="260"/>
    </row>
    <row r="72" spans="2:5" ht="12" thickBot="1" x14ac:dyDescent="0.4">
      <c r="B72" s="89" t="s">
        <v>68</v>
      </c>
      <c r="C72" s="90">
        <v>71887</v>
      </c>
      <c r="D72" s="111">
        <v>0</v>
      </c>
      <c r="E72" s="262"/>
    </row>
    <row r="73" spans="2:5" x14ac:dyDescent="0.35">
      <c r="B73" s="9" t="s">
        <v>31</v>
      </c>
      <c r="C73" s="86">
        <v>40594</v>
      </c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>
        <v>11824</v>
      </c>
    </row>
    <row r="77" spans="2:5" ht="12" thickBot="1" x14ac:dyDescent="0.4">
      <c r="B77" s="91" t="s">
        <v>15</v>
      </c>
      <c r="C77" s="92">
        <v>716641</v>
      </c>
    </row>
    <row r="78" spans="2:5" ht="12" thickTop="1" x14ac:dyDescent="0.35">
      <c r="B78" s="9" t="s">
        <v>54</v>
      </c>
      <c r="C78" s="86">
        <v>70126</v>
      </c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>
        <v>11000</v>
      </c>
    </row>
    <row r="82" spans="2:8" hidden="1" x14ac:dyDescent="0.35">
      <c r="B82" s="300" t="s">
        <v>276</v>
      </c>
      <c r="C82" s="79">
        <v>373503</v>
      </c>
    </row>
    <row r="83" spans="2:8" hidden="1" x14ac:dyDescent="0.35">
      <c r="B83" s="300" t="s">
        <v>246</v>
      </c>
      <c r="C83" s="79">
        <v>1489904</v>
      </c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291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3011012</v>
      </c>
      <c r="D91" s="98"/>
      <c r="E91" s="99">
        <f>C91</f>
        <v>3011012</v>
      </c>
      <c r="F91" s="99">
        <f>C91</f>
        <v>3011012</v>
      </c>
    </row>
    <row r="92" spans="2:8" x14ac:dyDescent="0.35">
      <c r="B92" s="100" t="s">
        <v>97</v>
      </c>
      <c r="C92" s="97">
        <f>C26</f>
        <v>2597400</v>
      </c>
      <c r="D92" s="101">
        <f>C92/C91</f>
        <v>0.86263355974668987</v>
      </c>
      <c r="E92" s="102">
        <f>E91*87.5%</f>
        <v>2634635.5</v>
      </c>
      <c r="F92" s="102">
        <f>F91*D92</f>
        <v>2597400</v>
      </c>
    </row>
    <row r="93" spans="2:8" x14ac:dyDescent="0.35">
      <c r="B93" s="100" t="s">
        <v>216</v>
      </c>
      <c r="C93" s="97">
        <f>C27+C28</f>
        <v>147240</v>
      </c>
      <c r="D93" s="101">
        <f>C93/C91</f>
        <v>4.8900502555287058E-2</v>
      </c>
      <c r="E93" s="102">
        <f>E91*5.04%</f>
        <v>151755.0048</v>
      </c>
      <c r="F93" s="102">
        <f>F91*5.04%</f>
        <v>151755.0048</v>
      </c>
    </row>
    <row r="94" spans="2:8" x14ac:dyDescent="0.35">
      <c r="B94" s="100" t="s">
        <v>222</v>
      </c>
      <c r="C94" s="97">
        <f>C29</f>
        <v>24063</v>
      </c>
      <c r="D94" s="101">
        <f>C94/C91</f>
        <v>7.9916652607163307E-3</v>
      </c>
      <c r="E94" s="103"/>
      <c r="F94" s="102">
        <f>F91*D94</f>
        <v>24063</v>
      </c>
    </row>
    <row r="95" spans="2:8" x14ac:dyDescent="0.35">
      <c r="B95" s="18" t="s">
        <v>215</v>
      </c>
      <c r="C95" s="97">
        <f>ABS(MAX(C34,0)-C33)</f>
        <v>35067</v>
      </c>
      <c r="D95" s="101">
        <f>C95/C91</f>
        <v>1.1646250496510809E-2</v>
      </c>
      <c r="E95" s="102">
        <f>E91*2%</f>
        <v>60220.24</v>
      </c>
      <c r="F95" s="102">
        <f>F91*2%</f>
        <v>60220.24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v>0</v>
      </c>
    </row>
    <row r="97" spans="2:6" x14ac:dyDescent="0.35">
      <c r="B97" s="93" t="s">
        <v>150</v>
      </c>
      <c r="C97" s="97">
        <f>MAX(C31,0)/(1-C16)</f>
        <v>27574.666666666668</v>
      </c>
      <c r="D97" s="101">
        <f>C97/C91</f>
        <v>9.1579398111554088E-3</v>
      </c>
      <c r="E97" s="103"/>
      <c r="F97" s="102">
        <f>F91*D97</f>
        <v>27574.666666666672</v>
      </c>
    </row>
    <row r="98" spans="2:6" x14ac:dyDescent="0.35">
      <c r="B98" s="8" t="s">
        <v>180</v>
      </c>
      <c r="C98" s="104">
        <f>C44</f>
        <v>0.45</v>
      </c>
      <c r="D98" s="105"/>
      <c r="E98" s="106">
        <f>C98*0.8</f>
        <v>0.36000000000000004</v>
      </c>
      <c r="F98" s="106">
        <f>C98</f>
        <v>0.45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0857.HK : 中國石油股份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167</v>
      </c>
      <c r="C3" s="312" t="str">
        <f>Inputs!C4</f>
        <v>0857.HK</v>
      </c>
      <c r="D3" s="313"/>
      <c r="E3" s="3"/>
      <c r="F3" s="9" t="s">
        <v>1</v>
      </c>
      <c r="G3" s="10">
        <v>6.27</v>
      </c>
      <c r="H3" s="11" t="s">
        <v>256</v>
      </c>
    </row>
    <row r="4" spans="1:10" ht="15.75" customHeight="1" x14ac:dyDescent="0.35">
      <c r="B4" s="12" t="s">
        <v>168</v>
      </c>
      <c r="C4" s="314" t="str">
        <f>Inputs!C5</f>
        <v>中國石油股份</v>
      </c>
      <c r="D4" s="315"/>
      <c r="E4" s="3"/>
      <c r="F4" s="9" t="s">
        <v>2</v>
      </c>
      <c r="G4" s="318">
        <f>Inputs!C10</f>
        <v>183020977818</v>
      </c>
      <c r="H4" s="318"/>
      <c r="I4" s="14"/>
    </row>
    <row r="5" spans="1:10" ht="15.75" customHeight="1" x14ac:dyDescent="0.35">
      <c r="B5" s="9" t="s">
        <v>145</v>
      </c>
      <c r="C5" s="316">
        <f>Inputs!C6</f>
        <v>45605</v>
      </c>
      <c r="D5" s="317"/>
      <c r="E5" s="16"/>
      <c r="F5" s="12" t="s">
        <v>91</v>
      </c>
      <c r="G5" s="321">
        <f>G3*G4/1000000</f>
        <v>1147541.5309188599</v>
      </c>
      <c r="H5" s="321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2" t="str">
        <f>Inputs!C11</f>
        <v>CNY</v>
      </c>
      <c r="H6" s="322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C0013</v>
      </c>
      <c r="E7" s="3"/>
      <c r="F7" s="12" t="s">
        <v>5</v>
      </c>
      <c r="G7" s="21">
        <v>1.061445673306783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>
        <f>C21*C22*C23</f>
        <v>0.16027699323804309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7.9307997886867723E-2</v>
      </c>
      <c r="F21" s="3"/>
      <c r="G21" s="34"/>
    </row>
    <row r="22" spans="1:8" ht="15.75" customHeight="1" x14ac:dyDescent="0.35">
      <c r="B22" s="35" t="s">
        <v>244</v>
      </c>
      <c r="C22" s="36">
        <f>Data!C50</f>
        <v>1.0876766474117481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>
        <f>1/Data!C55</f>
        <v>1.858037162125882</v>
      </c>
      <c r="F23" s="39" t="s">
        <v>163</v>
      </c>
      <c r="G23" s="40">
        <f>G3/(Data!C36*Data!C4/Common_Shares*Exchange_Rate)</f>
        <v>0.64422724467186121</v>
      </c>
    </row>
    <row r="24" spans="1:8" ht="15.75" customHeight="1" x14ac:dyDescent="0.35">
      <c r="B24" s="41" t="s">
        <v>239</v>
      </c>
      <c r="C24" s="42">
        <f>Fin_Analysis!I81</f>
        <v>7.9916652607163307E-3</v>
      </c>
      <c r="F24" s="39" t="s">
        <v>224</v>
      </c>
      <c r="G24" s="43">
        <f>G3/(Fin_Analysis!H86*G7)</f>
        <v>9.6099418016358555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0.73208835976624664</v>
      </c>
    </row>
    <row r="26" spans="1:8" ht="15.75" customHeight="1" x14ac:dyDescent="0.35">
      <c r="B26" s="45" t="s">
        <v>241</v>
      </c>
      <c r="C26" s="44">
        <f>Fin_Analysis!I80+Fin_Analysis!I82</f>
        <v>0.02</v>
      </c>
      <c r="F26" s="46" t="s">
        <v>166</v>
      </c>
      <c r="G26" s="47">
        <f>Fin_Analysis!H88*Exchange_Rate/G3</f>
        <v>7.6180311481348073E-2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9" t="s">
        <v>223</v>
      </c>
      <c r="H28" s="319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4.5554831866628387</v>
      </c>
      <c r="D29" s="54">
        <f>G29*(1+G20)</f>
        <v>9.026139112957539</v>
      </c>
      <c r="E29" s="3"/>
      <c r="F29" s="55">
        <f>IF(Fin_Analysis!C108="Profit",Fin_Analysis!F100,IF(Fin_Analysis!C108="Dividend",Fin_Analysis!F103,Fin_Analysis!F106))</f>
        <v>5.3593919843092221</v>
      </c>
      <c r="G29" s="320">
        <f>IF(Fin_Analysis!C108="Profit",Fin_Analysis!I100,IF(Fin_Analysis!C108="Dividend",Fin_Analysis!I103,Fin_Analysis!I106))</f>
        <v>7.8488166199630784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Strongly agree</v>
      </c>
    </row>
    <row r="34" spans="1:4" ht="15.75" customHeight="1" x14ac:dyDescent="0.35">
      <c r="B34" s="57" t="s">
        <v>197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agree</v>
      </c>
    </row>
    <row r="37" spans="1:4" ht="15.75" customHeight="1" x14ac:dyDescent="0.35">
      <c r="B37" s="56" t="s">
        <v>210</v>
      </c>
      <c r="C37" s="112" t="str">
        <f>Inputs!C19</f>
        <v>disagree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>
        <f>H14</f>
        <v>138098.66666666666</v>
      </c>
      <c r="G3" s="139">
        <f>C14</f>
        <v>238797.33333333334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CNY</v>
      </c>
      <c r="E4" s="138" t="s">
        <v>174</v>
      </c>
      <c r="F4" s="141">
        <f>(G3/F3)^(1/H3)-1</f>
        <v>9.5569662989496651E-2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3011012</v>
      </c>
      <c r="D6" s="142">
        <f>IF(Inputs!D25="","",Inputs!D25)</f>
        <v>3239167</v>
      </c>
      <c r="E6" s="142">
        <f>IF(Inputs!E25="","",Inputs!E25)</f>
        <v>2614349</v>
      </c>
      <c r="F6" s="142">
        <f>IF(Inputs!F25="","",Inputs!F25)</f>
        <v>1933836</v>
      </c>
      <c r="G6" s="142">
        <f>IF(Inputs!G25="","",Inputs!G25)</f>
        <v>2516810</v>
      </c>
      <c r="H6" s="142">
        <f>IF(Inputs!H25="","",Inputs!H25)</f>
        <v>2374934</v>
      </c>
      <c r="I6" s="142">
        <f>IF(Inputs!I25="","",Inputs!I25)</f>
        <v>2015890</v>
      </c>
      <c r="J6" s="142">
        <f>IF(Inputs!J25="","",Inputs!J25)</f>
        <v>1616903</v>
      </c>
      <c r="K6" s="142">
        <f>IF(Inputs!K25="","",Inputs!K25)</f>
        <v>1725428</v>
      </c>
      <c r="L6" s="142">
        <f>IF(Inputs!L25="","",Inputs!L25)</f>
        <v>2282962</v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-7.0436318967191269E-2</v>
      </c>
      <c r="D7" s="143">
        <f t="shared" si="1"/>
        <v>0.23899563524227263</v>
      </c>
      <c r="E7" s="143">
        <f t="shared" si="1"/>
        <v>0.35189798928140759</v>
      </c>
      <c r="F7" s="143">
        <f t="shared" si="1"/>
        <v>-0.23163210572113113</v>
      </c>
      <c r="G7" s="143">
        <f t="shared" si="1"/>
        <v>5.973892327113095E-2</v>
      </c>
      <c r="H7" s="143">
        <f t="shared" si="1"/>
        <v>0.17810694035884889</v>
      </c>
      <c r="I7" s="143">
        <f t="shared" si="1"/>
        <v>0.24676000972229017</v>
      </c>
      <c r="J7" s="143">
        <f t="shared" si="1"/>
        <v>-6.289743762127431E-2</v>
      </c>
      <c r="K7" s="143">
        <f t="shared" si="1"/>
        <v>-0.24421519061640096</v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2597400</v>
      </c>
      <c r="D8" s="144">
        <f>IF(Inputs!D26="","",Inputs!D26)</f>
        <v>2804756</v>
      </c>
      <c r="E8" s="144">
        <f>IF(Inputs!E26="","",Inputs!E26)</f>
        <v>2298168</v>
      </c>
      <c r="F8" s="144">
        <f>IF(Inputs!F26="","",Inputs!F26)</f>
        <v>1741508</v>
      </c>
      <c r="G8" s="144">
        <f>IF(Inputs!G26="","",Inputs!G26)</f>
        <v>2229308</v>
      </c>
      <c r="H8" s="144">
        <f>IF(Inputs!H26="","",Inputs!H26)</f>
        <v>2058853</v>
      </c>
      <c r="I8" s="144">
        <f>IF(Inputs!I26="","",Inputs!I26)</f>
        <v>1780340</v>
      </c>
      <c r="J8" s="144">
        <f>IF(Inputs!J26="","",Inputs!J26)</f>
        <v>1423553</v>
      </c>
      <c r="K8" s="144">
        <f>IF(Inputs!K26="","",Inputs!K26)</f>
        <v>1500674</v>
      </c>
      <c r="L8" s="144">
        <f>IF(Inputs!L26="","",Inputs!L26)</f>
        <v>1963128</v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413612</v>
      </c>
      <c r="D9" s="273">
        <f t="shared" si="2"/>
        <v>434411</v>
      </c>
      <c r="E9" s="273">
        <f t="shared" si="2"/>
        <v>316181</v>
      </c>
      <c r="F9" s="273">
        <f t="shared" si="2"/>
        <v>192328</v>
      </c>
      <c r="G9" s="273">
        <f t="shared" si="2"/>
        <v>287502</v>
      </c>
      <c r="H9" s="273">
        <f t="shared" si="2"/>
        <v>316081</v>
      </c>
      <c r="I9" s="273">
        <f t="shared" si="2"/>
        <v>235550</v>
      </c>
      <c r="J9" s="273">
        <f t="shared" si="2"/>
        <v>193350</v>
      </c>
      <c r="K9" s="273">
        <f t="shared" si="2"/>
        <v>224754</v>
      </c>
      <c r="L9" s="273">
        <f t="shared" si="2"/>
        <v>319834</v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125283</v>
      </c>
      <c r="D10" s="144">
        <f>IF(Inputs!D27="","",Inputs!D27)</f>
        <v>118875</v>
      </c>
      <c r="E10" s="144">
        <f>IF(Inputs!E27="","",Inputs!E27)</f>
        <v>122996</v>
      </c>
      <c r="F10" s="144">
        <f>IF(Inputs!F27="","",Inputs!F27)</f>
        <v>126791</v>
      </c>
      <c r="G10" s="144">
        <f>IF(Inputs!G27="","",Inputs!G27)</f>
        <v>135865</v>
      </c>
      <c r="H10" s="144">
        <f>IF(Inputs!H27="","",Inputs!H27)</f>
        <v>137231</v>
      </c>
      <c r="I10" s="144">
        <f>IF(Inputs!I27="","",Inputs!I27)</f>
        <v>143632</v>
      </c>
      <c r="J10" s="144">
        <f>IF(Inputs!J27="","",Inputs!J27)</f>
        <v>139934</v>
      </c>
      <c r="K10" s="144">
        <f>IF(Inputs!K27="","",Inputs!K27)</f>
        <v>142620</v>
      </c>
      <c r="L10" s="144">
        <f>IF(Inputs!L27="","",Inputs!L27)</f>
        <v>147802</v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>
        <f>IF(Inputs!C28="","",Inputs!C28)</f>
        <v>21957</v>
      </c>
      <c r="D11" s="144">
        <f>IF(Inputs!D28="","",Inputs!D28)</f>
        <v>20016</v>
      </c>
      <c r="E11" s="144">
        <f>IF(Inputs!E28="","",Inputs!E28)</f>
        <v>16729</v>
      </c>
      <c r="F11" s="144">
        <f>IF(Inputs!F28="","",Inputs!F28)</f>
        <v>15746</v>
      </c>
      <c r="G11" s="144">
        <f>IF(Inputs!G28="","",Inputs!G28)</f>
        <v>15666</v>
      </c>
      <c r="H11" s="144">
        <f>IF(Inputs!H28="","",Inputs!H28)</f>
        <v>12826</v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27574.666666666668</v>
      </c>
      <c r="D12" s="144">
        <f>IF(Inputs!D31="","",MAX(Inputs!D31,0)/(1-Fin_Analysis!$I$84))</f>
        <v>27606.666666666668</v>
      </c>
      <c r="E12" s="144">
        <f>IF(Inputs!E31="","",MAX(Inputs!E31,0)/(1-Fin_Analysis!$I$84))</f>
        <v>30034.666666666668</v>
      </c>
      <c r="F12" s="144">
        <f>IF(Inputs!F31="","",MAX(Inputs!F31,0)/(1-Fin_Analysis!$I$84))</f>
        <v>19305.333333333332</v>
      </c>
      <c r="G12" s="144">
        <f>IF(Inputs!G31="","",MAX(Inputs!G31,0)/(1-Fin_Analysis!$I$84))</f>
        <v>28444</v>
      </c>
      <c r="H12" s="144">
        <f>IF(Inputs!H31="","",MAX(Inputs!H31,0)/(1-Fin_Analysis!$I$84))</f>
        <v>27925.333333333332</v>
      </c>
      <c r="I12" s="144">
        <f>IF(Inputs!I31="","",MAX(Inputs!I31,0)/(1-Fin_Analysis!$I$84))</f>
        <v>18660</v>
      </c>
      <c r="J12" s="144">
        <f>IF(Inputs!J31="","",MAX(Inputs!J31,0)/(1-Fin_Analysis!$I$84))</f>
        <v>28685.333333333332</v>
      </c>
      <c r="K12" s="144">
        <f>IF(Inputs!K31="","",MAX(Inputs!K31,0)/(1-Fin_Analysis!$I$84))</f>
        <v>8948</v>
      </c>
      <c r="L12" s="144">
        <f>IF(Inputs!L31="","",MAX(Inputs!L31,0)/(1-Fin_Analysis!$I$84))</f>
        <v>15814.666666666666</v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7.9307997886867723E-2</v>
      </c>
      <c r="D13" s="292">
        <f t="shared" si="3"/>
        <v>8.2710565195722632E-2</v>
      </c>
      <c r="E13" s="292">
        <f t="shared" si="3"/>
        <v>5.6006804498302767E-2</v>
      </c>
      <c r="F13" s="292">
        <f t="shared" si="3"/>
        <v>1.5764349544980374E-2</v>
      </c>
      <c r="G13" s="292">
        <f t="shared" si="3"/>
        <v>4.2723527004422265E-2</v>
      </c>
      <c r="H13" s="292">
        <f t="shared" si="3"/>
        <v>5.8148422931612695E-2</v>
      </c>
      <c r="I13" s="292">
        <f t="shared" si="3"/>
        <v>3.6340276503182216E-2</v>
      </c>
      <c r="J13" s="292">
        <f t="shared" si="3"/>
        <v>1.5295083667150515E-2</v>
      </c>
      <c r="K13" s="292">
        <f t="shared" si="3"/>
        <v>4.2416142545501752E-2</v>
      </c>
      <c r="L13" s="292">
        <f t="shared" si="3"/>
        <v>6.8427478570967606E-2</v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238797.33333333334</v>
      </c>
      <c r="D14" s="294">
        <f t="shared" ref="D14:M14" si="4">IF(D6="","",D9-D10-MAX(D11,0)-MAX(D12,0))</f>
        <v>267913.33333333331</v>
      </c>
      <c r="E14" s="294">
        <f t="shared" si="4"/>
        <v>146421.33333333334</v>
      </c>
      <c r="F14" s="294">
        <f t="shared" si="4"/>
        <v>30485.666666666668</v>
      </c>
      <c r="G14" s="294">
        <f t="shared" si="4"/>
        <v>107527</v>
      </c>
      <c r="H14" s="294">
        <f t="shared" si="4"/>
        <v>138098.66666666666</v>
      </c>
      <c r="I14" s="294">
        <f t="shared" si="4"/>
        <v>73258</v>
      </c>
      <c r="J14" s="294">
        <f t="shared" si="4"/>
        <v>24730.666666666668</v>
      </c>
      <c r="K14" s="294">
        <f t="shared" si="4"/>
        <v>73186</v>
      </c>
      <c r="L14" s="294">
        <f t="shared" si="4"/>
        <v>156217.33333333334</v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-0.10867693532734456</v>
      </c>
      <c r="D15" s="296">
        <f t="shared" ref="D15:M15" si="5">IF(E14="","",IF(ABS(D14+E14)=ABS(D14)+ABS(E14),IF(D14&lt;0,-1,1)*(D14-E14)/E14,"Turn"))</f>
        <v>0.82974247832738368</v>
      </c>
      <c r="E15" s="296">
        <f t="shared" si="5"/>
        <v>3.8029565806881922</v>
      </c>
      <c r="F15" s="296">
        <f t="shared" si="5"/>
        <v>-0.71648361186802689</v>
      </c>
      <c r="G15" s="296">
        <f t="shared" si="5"/>
        <v>-0.22137553826249826</v>
      </c>
      <c r="H15" s="296">
        <f t="shared" si="5"/>
        <v>0.8851001483341977</v>
      </c>
      <c r="I15" s="296">
        <f t="shared" si="5"/>
        <v>1.9622331248652143</v>
      </c>
      <c r="J15" s="296">
        <f t="shared" si="5"/>
        <v>-0.66208473387442035</v>
      </c>
      <c r="K15" s="296">
        <f t="shared" si="5"/>
        <v>-0.53151165470327666</v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278</v>
      </c>
      <c r="C16" s="147" t="str">
        <f>IF(C17="","",C17-C14)</f>
        <v/>
      </c>
      <c r="D16" s="147">
        <f t="shared" ref="D16:M16" si="6">IF(D17="","",D17-D14)</f>
        <v>-247208.33333333331</v>
      </c>
      <c r="E16" s="147">
        <f t="shared" si="6"/>
        <v>-123895.33333333334</v>
      </c>
      <c r="F16" s="147">
        <f t="shared" si="6"/>
        <v>-16006.666666666668</v>
      </c>
      <c r="G16" s="147">
        <f t="shared" si="6"/>
        <v>-86194</v>
      </c>
      <c r="H16" s="147">
        <f t="shared" si="6"/>
        <v>-117154.66666666666</v>
      </c>
      <c r="I16" s="147">
        <f t="shared" si="6"/>
        <v>-59263</v>
      </c>
      <c r="J16" s="147">
        <f t="shared" si="6"/>
        <v>-3216.6666666666679</v>
      </c>
      <c r="K16" s="147">
        <f t="shared" si="6"/>
        <v>-66475</v>
      </c>
      <c r="L16" s="147">
        <f t="shared" si="6"/>
        <v>-144356.33333333334</v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275</v>
      </c>
      <c r="C17" s="307" t="str">
        <f>IF(Inputs!C30="","",Inputs!C30)</f>
        <v/>
      </c>
      <c r="D17" s="307">
        <f>IF(Inputs!D30="","",Inputs!D30)</f>
        <v>20705</v>
      </c>
      <c r="E17" s="307">
        <f>IF(Inputs!E30="","",Inputs!E30)</f>
        <v>22526</v>
      </c>
      <c r="F17" s="307">
        <f>IF(Inputs!F30="","",Inputs!F30)</f>
        <v>14479</v>
      </c>
      <c r="G17" s="307">
        <f>IF(Inputs!G30="","",Inputs!G30)</f>
        <v>21333</v>
      </c>
      <c r="H17" s="307">
        <f>IF(Inputs!H30="","",Inputs!H30)</f>
        <v>20944</v>
      </c>
      <c r="I17" s="307">
        <f>IF(Inputs!I30="","",Inputs!I30)</f>
        <v>13995</v>
      </c>
      <c r="J17" s="307">
        <f>IF(Inputs!J30="","",Inputs!J30)</f>
        <v>21514</v>
      </c>
      <c r="K17" s="307">
        <f>IF(Inputs!K30="","",Inputs!K30)</f>
        <v>6711</v>
      </c>
      <c r="L17" s="307">
        <f>IF(Inputs!L30="","",Inputs!L30)</f>
        <v>11861</v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>
        <f>IF(Inputs!C32="","",Inputs!C32)</f>
        <v>-13105</v>
      </c>
      <c r="D18" s="144">
        <f>IF(Inputs!D32="","",Inputs!D32)</f>
        <v>46237</v>
      </c>
      <c r="E18" s="144">
        <f>IF(Inputs!E32="","",Inputs!E32)</f>
        <v>27617</v>
      </c>
      <c r="F18" s="144">
        <f>IF(Inputs!F32="","",Inputs!F32)</f>
        <v>-71716</v>
      </c>
      <c r="G18" s="144">
        <f>IF(Inputs!G32="","",Inputs!G32)</f>
        <v>-28895</v>
      </c>
      <c r="H18" s="144">
        <f>IF(Inputs!H32="","",Inputs!H32)</f>
        <v>-2436</v>
      </c>
      <c r="I18" s="144">
        <f>IF(Inputs!I32="","",Inputs!I32)</f>
        <v>-64518</v>
      </c>
      <c r="J18" s="144">
        <f>IF(Inputs!J32="","",Inputs!J32)</f>
        <v>-5969</v>
      </c>
      <c r="K18" s="144">
        <f>IF(Inputs!K32="","",Inputs!K32)</f>
        <v>-4437</v>
      </c>
      <c r="L18" s="144">
        <f>IF(Inputs!L32="","",Inputs!L32)</f>
        <v>-34533</v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24063</v>
      </c>
      <c r="D19" s="144">
        <f>IF(Inputs!D29="","",Inputs!D29)</f>
        <v>21554</v>
      </c>
      <c r="E19" s="144">
        <f>IF(Inputs!E29="","",Inputs!E29)</f>
        <v>19739</v>
      </c>
      <c r="F19" s="144">
        <f>IF(Inputs!F29="","",Inputs!F29)</f>
        <v>26528</v>
      </c>
      <c r="G19" s="144">
        <f>IF(Inputs!G29="","",Inputs!G29)</f>
        <v>30409</v>
      </c>
      <c r="H19" s="144">
        <f>IF(Inputs!H29="","",Inputs!H29)</f>
        <v>22718</v>
      </c>
      <c r="I19" s="144">
        <f>IF(Inputs!I29="","",Inputs!I29)</f>
        <v>21648</v>
      </c>
      <c r="J19" s="144">
        <f>IF(Inputs!J29="","",Inputs!J29)</f>
        <v>20652</v>
      </c>
      <c r="K19" s="144">
        <f>IF(Inputs!K29="","",Inputs!K29)</f>
        <v>23826</v>
      </c>
      <c r="L19" s="144">
        <f>IF(Inputs!L29="","",Inputs!L29)</f>
        <v>24877</v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>
        <f t="shared" ref="C20:M20" si="7">IF(OR(C6="",C21=""),"",C21/C6)</f>
        <v>8.2182336038514631E-2</v>
      </c>
      <c r="D20" s="227">
        <f t="shared" si="7"/>
        <v>7.3486794598734792E-2</v>
      </c>
      <c r="E20" s="227">
        <f t="shared" si="7"/>
        <v>7.8315098710998413E-2</v>
      </c>
      <c r="F20" s="227">
        <f t="shared" si="7"/>
        <v>0.1026514140806149</v>
      </c>
      <c r="G20" s="227">
        <f t="shared" si="7"/>
        <v>8.41728219452402E-2</v>
      </c>
      <c r="H20" s="227">
        <f t="shared" si="7"/>
        <v>8.5204473050619511E-2</v>
      </c>
      <c r="I20" s="227">
        <f t="shared" si="7"/>
        <v>0.10885117739559202</v>
      </c>
      <c r="J20" s="227">
        <f t="shared" si="7"/>
        <v>0.12966207620370548</v>
      </c>
      <c r="K20" s="227">
        <f t="shared" si="7"/>
        <v>0.10308051103842061</v>
      </c>
      <c r="L20" s="227">
        <f t="shared" si="7"/>
        <v>7.6208452002267224E-2</v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>
        <f>IF(Inputs!C33="","",Inputs!C33)</f>
        <v>247452</v>
      </c>
      <c r="D21" s="144">
        <f>IF(Inputs!D33="","",Inputs!D33)</f>
        <v>238036</v>
      </c>
      <c r="E21" s="144">
        <f>IF(Inputs!E33="","",Inputs!E33)</f>
        <v>204743</v>
      </c>
      <c r="F21" s="144">
        <f>IF(Inputs!F33="","",Inputs!F33)</f>
        <v>198511</v>
      </c>
      <c r="G21" s="144">
        <f>IF(Inputs!G33="","",Inputs!G33)</f>
        <v>211847</v>
      </c>
      <c r="H21" s="144">
        <f>IF(Inputs!H33="","",Inputs!H33)</f>
        <v>202355</v>
      </c>
      <c r="I21" s="144">
        <f>IF(Inputs!I33="","",Inputs!I33)</f>
        <v>219432</v>
      </c>
      <c r="J21" s="144">
        <f>IF(Inputs!J33="","",Inputs!J33)</f>
        <v>209651</v>
      </c>
      <c r="K21" s="144">
        <f>IF(Inputs!K33="","",Inputs!K33)</f>
        <v>177858</v>
      </c>
      <c r="L21" s="144">
        <f>IF(Inputs!L33="","",Inputs!L33)</f>
        <v>173981</v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9.3828586535025432E-2</v>
      </c>
      <c r="D22" s="227">
        <f t="shared" si="8"/>
        <v>7.525144581924921E-2</v>
      </c>
      <c r="E22" s="227">
        <f t="shared" si="8"/>
        <v>9.6076690602517112E-2</v>
      </c>
      <c r="F22" s="227">
        <f t="shared" si="8"/>
        <v>0.1274632388682391</v>
      </c>
      <c r="G22" s="227">
        <f t="shared" si="8"/>
        <v>0.11791752257818429</v>
      </c>
      <c r="H22" s="227">
        <f t="shared" si="8"/>
        <v>0.10783710199946608</v>
      </c>
      <c r="I22" s="227">
        <f t="shared" si="8"/>
        <v>0.10726130890078328</v>
      </c>
      <c r="J22" s="227">
        <f t="shared" si="8"/>
        <v>0.10661492989993834</v>
      </c>
      <c r="K22" s="227">
        <f t="shared" si="8"/>
        <v>0.1172103385362936</v>
      </c>
      <c r="L22" s="227">
        <f t="shared" si="8"/>
        <v>0.12778530698277063</v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>
        <f>IF(Inputs!C34="","",Inputs!C34)</f>
        <v>282519</v>
      </c>
      <c r="D23" s="144">
        <f>IF(Inputs!D34="","",Inputs!D34)</f>
        <v>243752</v>
      </c>
      <c r="E23" s="144">
        <f>IF(Inputs!E34="","",Inputs!E34)</f>
        <v>251178</v>
      </c>
      <c r="F23" s="144">
        <f>IF(Inputs!F34="","",Inputs!F34)</f>
        <v>246493</v>
      </c>
      <c r="G23" s="144">
        <f>IF(Inputs!G34="","",Inputs!G34)</f>
        <v>296776</v>
      </c>
      <c r="H23" s="144">
        <f>IF(Inputs!H34="","",Inputs!H34)</f>
        <v>256106</v>
      </c>
      <c r="I23" s="144">
        <f>IF(Inputs!I34="","",Inputs!I34)</f>
        <v>216227</v>
      </c>
      <c r="J23" s="144">
        <f>IF(Inputs!J34="","",Inputs!J34)</f>
        <v>172386</v>
      </c>
      <c r="K23" s="144">
        <f>IF(Inputs!K34="","",Inputs!K34)</f>
        <v>202238</v>
      </c>
      <c r="L23" s="144">
        <f>IF(Inputs!L34="","",Inputs!L34)</f>
        <v>291729</v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279</v>
      </c>
      <c r="C24" s="309">
        <f t="shared" ref="C24:M24" si="9">IF(C6="","",C14-MAX(C18,0)-MAX(C19,0)-ABS(MAX(C23,0)-MAX(C21,0)))</f>
        <v>179667.33333333334</v>
      </c>
      <c r="D24" s="309">
        <f t="shared" si="9"/>
        <v>194406.33333333331</v>
      </c>
      <c r="E24" s="309">
        <f t="shared" si="9"/>
        <v>52630.333333333343</v>
      </c>
      <c r="F24" s="309">
        <f t="shared" si="9"/>
        <v>-44024.333333333328</v>
      </c>
      <c r="G24" s="309">
        <f t="shared" si="9"/>
        <v>-7811</v>
      </c>
      <c r="H24" s="309">
        <f t="shared" si="9"/>
        <v>61629.666666666657</v>
      </c>
      <c r="I24" s="309">
        <f t="shared" si="9"/>
        <v>48405</v>
      </c>
      <c r="J24" s="309">
        <f t="shared" si="9"/>
        <v>-33186.333333333328</v>
      </c>
      <c r="K24" s="309">
        <f t="shared" si="9"/>
        <v>24980</v>
      </c>
      <c r="L24" s="309">
        <f t="shared" si="9"/>
        <v>13592.333333333343</v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4.4752561597230435E-2</v>
      </c>
      <c r="D25" s="143">
        <f t="shared" si="10"/>
        <v>4.5013038846098398E-2</v>
      </c>
      <c r="E25" s="143">
        <f t="shared" si="10"/>
        <v>1.50985006209959E-2</v>
      </c>
      <c r="F25" s="143">
        <f t="shared" si="10"/>
        <v>-1.7073965941269063E-2</v>
      </c>
      <c r="G25" s="143">
        <f t="shared" si="10"/>
        <v>-2.32764888887123E-3</v>
      </c>
      <c r="H25" s="143">
        <f t="shared" si="10"/>
        <v>1.9462540853766881E-2</v>
      </c>
      <c r="I25" s="143">
        <f t="shared" si="10"/>
        <v>1.8008795122749752E-2</v>
      </c>
      <c r="J25" s="143">
        <f t="shared" si="10"/>
        <v>-1.539347134614754E-2</v>
      </c>
      <c r="K25" s="143">
        <f t="shared" si="10"/>
        <v>1.0858175478779758E-2</v>
      </c>
      <c r="L25" s="143">
        <f t="shared" si="10"/>
        <v>4.4653612280887755E-3</v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280</v>
      </c>
      <c r="C26" s="275">
        <f>IF(C6="","",C24*(1-Fin_Analysis!$I$84))</f>
        <v>134750.5</v>
      </c>
      <c r="D26" s="276">
        <f>IF(D6="","",D24*(1-Fin_Analysis!$I$84))</f>
        <v>145804.75</v>
      </c>
      <c r="E26" s="276">
        <f>IF(E6="","",E24*(1-Fin_Analysis!$I$84))</f>
        <v>39472.750000000007</v>
      </c>
      <c r="F26" s="276">
        <f>IF(F6="","",F24*(1-Fin_Analysis!$I$84))</f>
        <v>-33018.25</v>
      </c>
      <c r="G26" s="276">
        <f>IF(G6="","",G24*(1-Fin_Analysis!$I$84))</f>
        <v>-5858.25</v>
      </c>
      <c r="H26" s="276">
        <f>IF(H6="","",H24*(1-Fin_Analysis!$I$84))</f>
        <v>46222.249999999993</v>
      </c>
      <c r="I26" s="276">
        <f>IF(I6="","",I24*(1-Fin_Analysis!$I$84))</f>
        <v>36303.75</v>
      </c>
      <c r="J26" s="276">
        <f>IF(J6="","",J24*(1-Fin_Analysis!$I$84))</f>
        <v>-24889.749999999996</v>
      </c>
      <c r="K26" s="276">
        <f>IF(K6="","",K24*(1-Fin_Analysis!$I$84))</f>
        <v>18735</v>
      </c>
      <c r="L26" s="276">
        <f>IF(L6="","",L24*(1-Fin_Analysis!$I$84))</f>
        <v>10194.250000000007</v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-7.5815431253097032E-2</v>
      </c>
      <c r="D27" s="305">
        <f t="shared" si="11"/>
        <v>2.6938077534501645</v>
      </c>
      <c r="E27" s="305" t="str">
        <f t="shared" si="11"/>
        <v>Turn</v>
      </c>
      <c r="F27" s="305">
        <f t="shared" si="11"/>
        <v>-4.6361968164554259</v>
      </c>
      <c r="G27" s="305" t="str">
        <f t="shared" si="11"/>
        <v>Turn</v>
      </c>
      <c r="H27" s="305">
        <f t="shared" si="11"/>
        <v>0.27320869056226954</v>
      </c>
      <c r="I27" s="305" t="str">
        <f t="shared" si="11"/>
        <v>Turn</v>
      </c>
      <c r="J27" s="305" t="str">
        <f t="shared" si="11"/>
        <v>Turn</v>
      </c>
      <c r="K27" s="305">
        <f t="shared" si="11"/>
        <v>0.83780072099467706</v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2768297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142879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182674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1090144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52418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81126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133544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1678153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188249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2226916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0.10723230392764403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0.86263355974668987</v>
      </c>
      <c r="D42" s="150">
        <f t="shared" si="35"/>
        <v>0.86588805084764076</v>
      </c>
      <c r="E42" s="150">
        <f t="shared" si="35"/>
        <v>0.87905937577576676</v>
      </c>
      <c r="F42" s="150">
        <f t="shared" si="35"/>
        <v>0.90054585807690002</v>
      </c>
      <c r="G42" s="150">
        <f t="shared" si="35"/>
        <v>0.88576730067029297</v>
      </c>
      <c r="H42" s="150">
        <f t="shared" si="35"/>
        <v>0.86690956464474378</v>
      </c>
      <c r="I42" s="150">
        <f t="shared" si="35"/>
        <v>0.88315334666078005</v>
      </c>
      <c r="J42" s="150">
        <f t="shared" si="35"/>
        <v>0.88041954279261037</v>
      </c>
      <c r="K42" s="150">
        <f t="shared" si="35"/>
        <v>0.86974014563343127</v>
      </c>
      <c r="L42" s="150">
        <f t="shared" si="35"/>
        <v>0.85990393182190505</v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4.8900502555287058E-2</v>
      </c>
      <c r="D43" s="146">
        <f t="shared" si="36"/>
        <v>4.2878616631992113E-2</v>
      </c>
      <c r="E43" s="146">
        <f t="shared" si="36"/>
        <v>5.3445427523257226E-2</v>
      </c>
      <c r="F43" s="146">
        <f t="shared" si="36"/>
        <v>7.3706870696377561E-2</v>
      </c>
      <c r="G43" s="146">
        <f t="shared" si="36"/>
        <v>6.0207564337395353E-2</v>
      </c>
      <c r="H43" s="146">
        <f t="shared" si="36"/>
        <v>6.3183650577237099E-2</v>
      </c>
      <c r="I43" s="146">
        <f t="shared" si="36"/>
        <v>7.1249919390442937E-2</v>
      </c>
      <c r="J43" s="146">
        <f t="shared" si="36"/>
        <v>8.6544461850834586E-2</v>
      </c>
      <c r="K43" s="146">
        <f t="shared" si="36"/>
        <v>8.265775216352117E-2</v>
      </c>
      <c r="L43" s="146">
        <f t="shared" si="36"/>
        <v>6.4741331655980255E-2</v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1.4274348929832885E-2</v>
      </c>
      <c r="E44" s="146">
        <f t="shared" si="37"/>
        <v>1.0563624060903882E-2</v>
      </c>
      <c r="F44" s="146">
        <f t="shared" si="37"/>
        <v>0</v>
      </c>
      <c r="G44" s="146">
        <f t="shared" si="37"/>
        <v>0</v>
      </c>
      <c r="H44" s="146">
        <f t="shared" si="37"/>
        <v>0</v>
      </c>
      <c r="I44" s="146">
        <f t="shared" si="37"/>
        <v>0</v>
      </c>
      <c r="J44" s="146">
        <f t="shared" si="37"/>
        <v>0</v>
      </c>
      <c r="K44" s="146">
        <f t="shared" si="37"/>
        <v>0</v>
      </c>
      <c r="L44" s="146">
        <f t="shared" si="37"/>
        <v>0</v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7.9916652607163307E-3</v>
      </c>
      <c r="D45" s="146">
        <f t="shared" si="38"/>
        <v>6.6541799172441553E-3</v>
      </c>
      <c r="E45" s="146">
        <f t="shared" si="38"/>
        <v>7.5502543845523303E-3</v>
      </c>
      <c r="F45" s="146">
        <f t="shared" si="38"/>
        <v>1.3717812679048275E-2</v>
      </c>
      <c r="G45" s="146">
        <f t="shared" si="38"/>
        <v>1.2082358223306488E-2</v>
      </c>
      <c r="H45" s="146">
        <f t="shared" si="38"/>
        <v>9.5657395110769396E-3</v>
      </c>
      <c r="I45" s="146">
        <f t="shared" si="38"/>
        <v>1.0738681178040468E-2</v>
      </c>
      <c r="J45" s="146">
        <f t="shared" si="38"/>
        <v>1.2772565824913431E-2</v>
      </c>
      <c r="K45" s="146">
        <f t="shared" si="38"/>
        <v>1.3808747742589085E-2</v>
      </c>
      <c r="L45" s="146">
        <f t="shared" si="38"/>
        <v>1.0896808619679172E-2</v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9.1579398111554088E-3</v>
      </c>
      <c r="D46" s="146">
        <f t="shared" si="39"/>
        <v>8.522767324644475E-3</v>
      </c>
      <c r="E46" s="146">
        <f t="shared" si="39"/>
        <v>1.1488392202673272E-2</v>
      </c>
      <c r="F46" s="146">
        <f t="shared" si="39"/>
        <v>9.9829216817420574E-3</v>
      </c>
      <c r="G46" s="146">
        <f t="shared" si="39"/>
        <v>1.1301607987889432E-2</v>
      </c>
      <c r="H46" s="146">
        <f t="shared" si="39"/>
        <v>1.1758361846406398E-2</v>
      </c>
      <c r="I46" s="146">
        <f t="shared" si="39"/>
        <v>9.2564574455947495E-3</v>
      </c>
      <c r="J46" s="146">
        <f t="shared" si="39"/>
        <v>1.774091168940458E-2</v>
      </c>
      <c r="K46" s="146">
        <f t="shared" si="39"/>
        <v>5.1859596575458376E-3</v>
      </c>
      <c r="L46" s="146">
        <f t="shared" si="39"/>
        <v>6.9272579511470917E-3</v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1.1646250496510809E-2</v>
      </c>
      <c r="D47" s="146">
        <f t="shared" si="40"/>
        <v>1.76465122051441E-3</v>
      </c>
      <c r="E47" s="146">
        <f t="shared" si="40"/>
        <v>1.7761591891518692E-2</v>
      </c>
      <c r="F47" s="146">
        <f t="shared" si="40"/>
        <v>2.4811824787624184E-2</v>
      </c>
      <c r="G47" s="146">
        <f t="shared" si="40"/>
        <v>3.3744700632944082E-2</v>
      </c>
      <c r="H47" s="146">
        <f t="shared" si="40"/>
        <v>2.263262894884658E-2</v>
      </c>
      <c r="I47" s="146">
        <f t="shared" si="40"/>
        <v>1.5898684948087445E-3</v>
      </c>
      <c r="J47" s="146">
        <f t="shared" si="40"/>
        <v>2.3047146303767141E-2</v>
      </c>
      <c r="K47" s="146">
        <f t="shared" si="40"/>
        <v>1.4129827497872992E-2</v>
      </c>
      <c r="L47" s="146">
        <f t="shared" si="40"/>
        <v>5.1576854980503399E-2</v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5.9670082129640582E-2</v>
      </c>
      <c r="D48" s="281">
        <f t="shared" si="41"/>
        <v>6.0017385128131186E-2</v>
      </c>
      <c r="E48" s="281">
        <f t="shared" si="41"/>
        <v>2.0131334161327865E-2</v>
      </c>
      <c r="F48" s="281">
        <f t="shared" si="41"/>
        <v>-2.2765287921692082E-2</v>
      </c>
      <c r="G48" s="281">
        <f t="shared" si="41"/>
        <v>-3.1035318518283063E-3</v>
      </c>
      <c r="H48" s="281">
        <f t="shared" si="41"/>
        <v>2.5950054471689174E-2</v>
      </c>
      <c r="I48" s="281">
        <f t="shared" si="41"/>
        <v>2.4011726830333004E-2</v>
      </c>
      <c r="J48" s="281">
        <f t="shared" si="41"/>
        <v>-2.0524628461530053E-2</v>
      </c>
      <c r="K48" s="281">
        <f t="shared" si="41"/>
        <v>1.4477567305039678E-2</v>
      </c>
      <c r="L48" s="281">
        <f t="shared" si="41"/>
        <v>5.9538149707850339E-3</v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>
        <f t="shared" ref="C50:M50" si="42">IF(C6="","",C6/C29)</f>
        <v>1.0876766474117481</v>
      </c>
      <c r="D50" s="153" t="e">
        <f t="shared" si="42"/>
        <v>#VALUE!</v>
      </c>
      <c r="E50" s="153" t="e">
        <f t="shared" si="42"/>
        <v>#VALUE!</v>
      </c>
      <c r="F50" s="153" t="e">
        <f t="shared" si="42"/>
        <v>#VALUE!</v>
      </c>
      <c r="G50" s="153" t="e">
        <f t="shared" si="42"/>
        <v>#VALUE!</v>
      </c>
      <c r="H50" s="153" t="e">
        <f t="shared" si="42"/>
        <v>#VALUE!</v>
      </c>
      <c r="I50" s="153" t="e">
        <f t="shared" si="42"/>
        <v>#VALUE!</v>
      </c>
      <c r="J50" s="153" t="e">
        <f t="shared" si="42"/>
        <v>#VALUE!</v>
      </c>
      <c r="K50" s="153" t="e">
        <f t="shared" si="42"/>
        <v>#VALUE!</v>
      </c>
      <c r="L50" s="153" t="e">
        <f t="shared" si="42"/>
        <v>#VALUE!</v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4.7452152299625509E-2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6.0668638982508204E-2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>
        <f t="shared" ref="C53:M53" si="45">IF(D6="","",C18/(C6-D6))</f>
        <v>5.743902171769192E-2</v>
      </c>
      <c r="D53" s="146">
        <f t="shared" si="45"/>
        <v>7.400074901811407E-2</v>
      </c>
      <c r="E53" s="146">
        <f t="shared" si="45"/>
        <v>4.0582619288683681E-2</v>
      </c>
      <c r="F53" s="146">
        <f t="shared" si="45"/>
        <v>0.12301749306144014</v>
      </c>
      <c r="G53" s="146">
        <f t="shared" si="45"/>
        <v>-0.2036637627223773</v>
      </c>
      <c r="H53" s="146">
        <f t="shared" si="45"/>
        <v>-6.7846837713483581E-3</v>
      </c>
      <c r="I53" s="146">
        <f t="shared" si="45"/>
        <v>-0.16170451668851366</v>
      </c>
      <c r="J53" s="146">
        <f t="shared" si="45"/>
        <v>5.5001151808339095E-2</v>
      </c>
      <c r="K53" s="146">
        <f t="shared" si="45"/>
        <v>7.9582590478786946E-3</v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>
        <f t="shared" ref="C55:M55" si="46">IF(C36="","",(C36-C37)/C29)</f>
        <v>0.5382023677372767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>
        <f t="shared" ref="C56:M56" si="47">IF(OR(C24="",C35=""),"",IF(C35&lt;=0,"-",C24/C35))</f>
        <v>1.3453793007048864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0.13393085739941596</v>
      </c>
      <c r="D57" s="146">
        <f t="shared" si="48"/>
        <v>0.11087087354835834</v>
      </c>
      <c r="E57" s="146">
        <f t="shared" si="48"/>
        <v>0.37504987618040286</v>
      </c>
      <c r="F57" s="146">
        <f t="shared" si="48"/>
        <v>-0.6025758482051593</v>
      </c>
      <c r="G57" s="146">
        <f t="shared" si="48"/>
        <v>-3.8930994750992189</v>
      </c>
      <c r="H57" s="146">
        <f t="shared" si="48"/>
        <v>0.36862117270362221</v>
      </c>
      <c r="I57" s="146">
        <f t="shared" si="48"/>
        <v>0.44722652618531145</v>
      </c>
      <c r="J57" s="146">
        <f t="shared" si="48"/>
        <v>-0.62230436223746732</v>
      </c>
      <c r="K57" s="146">
        <f t="shared" si="48"/>
        <v>0.9538030424339472</v>
      </c>
      <c r="L57" s="146">
        <f t="shared" si="48"/>
        <v>1.8302229197832098</v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>
        <f t="shared" ref="C60:M60" si="50">IF(C14="","",C14/(C36-C37))</f>
        <v>0.16027699323804309</v>
      </c>
      <c r="D60" s="156" t="e">
        <f t="shared" si="50"/>
        <v>#VALUE!</v>
      </c>
      <c r="E60" s="156" t="e">
        <f t="shared" si="50"/>
        <v>#VALUE!</v>
      </c>
      <c r="F60" s="156" t="e">
        <f t="shared" si="50"/>
        <v>#VALUE!</v>
      </c>
      <c r="G60" s="156" t="e">
        <f t="shared" si="50"/>
        <v>#VALUE!</v>
      </c>
      <c r="H60" s="156" t="e">
        <f t="shared" si="50"/>
        <v>#VALUE!</v>
      </c>
      <c r="I60" s="156" t="e">
        <f t="shared" si="50"/>
        <v>#VALUE!</v>
      </c>
      <c r="J60" s="156" t="e">
        <f t="shared" si="50"/>
        <v>#VALUE!</v>
      </c>
      <c r="K60" s="156" t="e">
        <f t="shared" si="50"/>
        <v>#VALUE!</v>
      </c>
      <c r="L60" s="156" t="e">
        <f t="shared" si="50"/>
        <v>#VALUE!</v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>
        <f t="shared" ref="C61:M61" si="51">IF(C24="","",C24/(C36-C37))</f>
        <v>0.12058987245710687</v>
      </c>
      <c r="D61" s="156" t="e">
        <f t="shared" si="51"/>
        <v>#VALUE!</v>
      </c>
      <c r="E61" s="156" t="e">
        <f t="shared" si="51"/>
        <v>#VALUE!</v>
      </c>
      <c r="F61" s="156" t="e">
        <f t="shared" si="51"/>
        <v>#VALUE!</v>
      </c>
      <c r="G61" s="156" t="e">
        <f t="shared" si="51"/>
        <v>#VALUE!</v>
      </c>
      <c r="H61" s="156" t="e">
        <f t="shared" si="51"/>
        <v>#VALUE!</v>
      </c>
      <c r="I61" s="156" t="e">
        <f t="shared" si="51"/>
        <v>#VALUE!</v>
      </c>
      <c r="J61" s="156" t="e">
        <f t="shared" si="51"/>
        <v>#VALUE!</v>
      </c>
      <c r="K61" s="156" t="e">
        <f t="shared" si="51"/>
        <v>#VALUE!</v>
      </c>
      <c r="L61" s="156" t="e">
        <f t="shared" si="51"/>
        <v>#VALUE!</v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1678153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1489904</v>
      </c>
      <c r="K3" s="75"/>
    </row>
    <row r="4" spans="1:11" ht="15" customHeight="1" x14ac:dyDescent="0.35">
      <c r="B4" s="9" t="s">
        <v>21</v>
      </c>
      <c r="C4" s="3"/>
      <c r="D4" s="144">
        <f>Inputs!C42</f>
        <v>188249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>
        <f>C28/I28</f>
        <v>0.93822569459464367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-649866.79999999993</v>
      </c>
      <c r="E6" s="170">
        <f>1-D6/D3</f>
        <v>1.3872512220280271</v>
      </c>
      <c r="F6" s="3"/>
      <c r="G6" s="3"/>
      <c r="H6" s="2" t="s">
        <v>24</v>
      </c>
      <c r="I6" s="168">
        <f>(C24+C25)/I28</f>
        <v>0.59772187189959824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>
        <f>C24/I28</f>
        <v>0.54651352629838368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238880</v>
      </c>
      <c r="D11" s="258">
        <f>Inputs!D48</f>
        <v>0.9</v>
      </c>
      <c r="E11" s="176">
        <f t="shared" ref="E11:E22" si="0">C11*D11</f>
        <v>214992</v>
      </c>
      <c r="F11" s="260"/>
      <c r="G11" s="3"/>
      <c r="H11" s="9" t="s">
        <v>31</v>
      </c>
      <c r="I11" s="175">
        <f>Inputs!C73</f>
        <v>40594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142879</v>
      </c>
      <c r="D13" s="258">
        <f>Inputs!D50</f>
        <v>0.6</v>
      </c>
      <c r="E13" s="176">
        <f t="shared" si="0"/>
        <v>85727.4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9895</v>
      </c>
      <c r="D14" s="258">
        <f>Inputs!D51</f>
        <v>0.6</v>
      </c>
      <c r="E14" s="176">
        <f t="shared" si="0"/>
        <v>5937</v>
      </c>
      <c r="F14" s="260"/>
      <c r="G14" s="3"/>
      <c r="H14" s="8" t="s">
        <v>35</v>
      </c>
      <c r="I14" s="178">
        <f>Inputs!C76</f>
        <v>11824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52418</v>
      </c>
      <c r="J15" s="3"/>
    </row>
    <row r="16" spans="1:11" ht="11.65" x14ac:dyDescent="0.35">
      <c r="B16" s="2" t="s">
        <v>141</v>
      </c>
      <c r="C16" s="175">
        <f>Inputs!C53</f>
        <v>11851</v>
      </c>
      <c r="D16" s="258">
        <f>Inputs!D53</f>
        <v>0.6</v>
      </c>
      <c r="E16" s="176">
        <f t="shared" si="0"/>
        <v>7110.5999999999995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24847</v>
      </c>
      <c r="D17" s="258">
        <f>Inputs!D54</f>
        <v>0.1</v>
      </c>
      <c r="E17" s="176">
        <f t="shared" si="0"/>
        <v>2484.7000000000003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182674</v>
      </c>
      <c r="D18" s="258">
        <f>Inputs!D55</f>
        <v>0.5</v>
      </c>
      <c r="E18" s="176">
        <f t="shared" si="0"/>
        <v>91337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61345</v>
      </c>
      <c r="D22" s="258">
        <f>Inputs!D59</f>
        <v>0.05</v>
      </c>
      <c r="E22" s="176">
        <f t="shared" si="0"/>
        <v>3067.25</v>
      </c>
      <c r="F22" s="260"/>
      <c r="G22" s="3"/>
      <c r="H22" s="9" t="s">
        <v>37</v>
      </c>
      <c r="I22" s="182">
        <f>I28-SUM(I11:I14)</f>
        <v>664223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391654</v>
      </c>
      <c r="D24" s="185">
        <f>IF(E24=0,0,E24/C24)</f>
        <v>0.78297783247458219</v>
      </c>
      <c r="E24" s="176">
        <f>SUM(E11:E14)</f>
        <v>306656.40000000002</v>
      </c>
      <c r="F24" s="186">
        <f>E24/$E$28</f>
        <v>0.74674773371723946</v>
      </c>
      <c r="G24" s="3"/>
    </row>
    <row r="25" spans="2:10" ht="15" customHeight="1" x14ac:dyDescent="0.35">
      <c r="B25" s="183" t="s">
        <v>47</v>
      </c>
      <c r="C25" s="184">
        <f>SUM(C15:C17)</f>
        <v>36698</v>
      </c>
      <c r="D25" s="185">
        <f>IF(E25=0,0,E25/C25)</f>
        <v>0.26146656493541881</v>
      </c>
      <c r="E25" s="176">
        <f>SUM(E15:E17)</f>
        <v>9595.2999999999993</v>
      </c>
      <c r="F25" s="186">
        <f>E25/$E$28</f>
        <v>2.3365788319881883E-2</v>
      </c>
      <c r="G25" s="3"/>
      <c r="H25" s="183" t="s">
        <v>48</v>
      </c>
      <c r="I25" s="168">
        <f>E28/I28</f>
        <v>0.57302882475325867</v>
      </c>
    </row>
    <row r="26" spans="2:10" ht="15" customHeight="1" x14ac:dyDescent="0.35">
      <c r="B26" s="183" t="s">
        <v>49</v>
      </c>
      <c r="C26" s="184">
        <f>C18+C19+C20</f>
        <v>182674</v>
      </c>
      <c r="D26" s="185">
        <f>IF(E26=0,0,E26/C26)</f>
        <v>0.5</v>
      </c>
      <c r="E26" s="176">
        <f>E18+E19+E20</f>
        <v>91337</v>
      </c>
      <c r="F26" s="186">
        <f>E26/$E$28</f>
        <v>0.22241733012756784</v>
      </c>
      <c r="G26" s="3"/>
      <c r="H26" s="183" t="s">
        <v>50</v>
      </c>
      <c r="I26" s="168">
        <f>E24/($I$28-I22)</f>
        <v>5.8502117593193184</v>
      </c>
      <c r="J26" s="187" t="str">
        <f>IF(I26&lt;1,"Liquidity Problem!","")</f>
        <v/>
      </c>
    </row>
    <row r="27" spans="2:10" ht="15" customHeight="1" x14ac:dyDescent="0.35">
      <c r="B27" s="183" t="s">
        <v>51</v>
      </c>
      <c r="C27" s="97">
        <f>C21+C22</f>
        <v>61345</v>
      </c>
      <c r="D27" s="185">
        <f>IF(E27=0,0,E27/C27)</f>
        <v>0.05</v>
      </c>
      <c r="E27" s="176">
        <f>E21+E22</f>
        <v>3067.25</v>
      </c>
      <c r="F27" s="186">
        <f>E27/$E$28</f>
        <v>7.4691478353107995E-3</v>
      </c>
      <c r="G27" s="3"/>
      <c r="H27" s="183" t="s">
        <v>52</v>
      </c>
      <c r="I27" s="168">
        <f>(E25+E24)/$I$28</f>
        <v>0.44129724645952439</v>
      </c>
      <c r="J27" s="187" t="str">
        <f>IF(OR(I27&lt;0.75,C28&lt;I28),"Liquidity Issue!","")</f>
        <v>Liquidity Issue!</v>
      </c>
    </row>
    <row r="28" spans="2:10" ht="15" customHeight="1" x14ac:dyDescent="0.35">
      <c r="B28" s="188" t="s">
        <v>14</v>
      </c>
      <c r="C28" s="189">
        <f>SUM(C11:C22)</f>
        <v>672371</v>
      </c>
      <c r="D28" s="190">
        <f>E28/C28</f>
        <v>0.61075797439211388</v>
      </c>
      <c r="E28" s="191">
        <f>SUM(E24:E27)</f>
        <v>410655.95</v>
      </c>
      <c r="F28" s="87"/>
      <c r="G28" s="3"/>
      <c r="H28" s="188" t="s">
        <v>15</v>
      </c>
      <c r="I28" s="161">
        <f>Inputs!C77</f>
        <v>716641</v>
      </c>
      <c r="J28" s="192">
        <f>IF(J26="",1,0)+IF(J27="",1,0)+IF(J46="",1,0)+IF(J47="",1,0)</f>
        <v>2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70126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693</v>
      </c>
      <c r="D33" s="258">
        <f>Inputs!D63</f>
        <v>0.5</v>
      </c>
      <c r="E33" s="176">
        <f t="shared" si="1"/>
        <v>346.5</v>
      </c>
      <c r="F33" s="260"/>
      <c r="G33" s="181">
        <f>IF(F33="Y",0,1)</f>
        <v>1</v>
      </c>
      <c r="H33" s="8" t="s">
        <v>59</v>
      </c>
      <c r="I33" s="178">
        <f>Inputs!C81</f>
        <v>11000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81126</v>
      </c>
      <c r="J34" s="3"/>
    </row>
    <row r="35" spans="2:10" ht="11.65" x14ac:dyDescent="0.35">
      <c r="B35" s="9" t="s">
        <v>62</v>
      </c>
      <c r="C35" s="175">
        <f>Inputs!C65</f>
        <v>292606</v>
      </c>
      <c r="D35" s="258">
        <f>Inputs!D65</f>
        <v>0.1</v>
      </c>
      <c r="E35" s="176">
        <f t="shared" si="1"/>
        <v>29260.600000000002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201156</v>
      </c>
      <c r="D37" s="258">
        <f>Inputs!D67</f>
        <v>0.1</v>
      </c>
      <c r="E37" s="176">
        <f t="shared" si="1"/>
        <v>20115.600000000002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1413348</v>
      </c>
      <c r="D38" s="258">
        <f>Inputs!D68</f>
        <v>0.1</v>
      </c>
      <c r="E38" s="176">
        <f t="shared" si="1"/>
        <v>141334.80000000002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91529</v>
      </c>
      <c r="D40" s="258">
        <f>Inputs!D70</f>
        <v>0.05</v>
      </c>
      <c r="E40" s="176">
        <f t="shared" si="1"/>
        <v>4576.45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24707</v>
      </c>
      <c r="D41" s="258">
        <f>Inputs!D71</f>
        <v>0.9</v>
      </c>
      <c r="E41" s="176">
        <f t="shared" si="1"/>
        <v>22236.3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71887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292377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293299</v>
      </c>
      <c r="D45" s="185">
        <f>IF(E45=0,0,E45/C45)</f>
        <v>0.10094511062090222</v>
      </c>
      <c r="E45" s="176">
        <f>SUM(E32:E35)</f>
        <v>29607.100000000002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1614504</v>
      </c>
      <c r="D46" s="185">
        <f>IF(E46=0,0,E46/C46)</f>
        <v>0.10000000000000002</v>
      </c>
      <c r="E46" s="176">
        <f>E36+E37+E38+E39</f>
        <v>161450.40000000002</v>
      </c>
      <c r="F46" s="3"/>
      <c r="G46" s="3"/>
      <c r="H46" s="183" t="s">
        <v>73</v>
      </c>
      <c r="I46" s="168">
        <f>(E44+E24)/E64</f>
        <v>2.296294854130474</v>
      </c>
      <c r="J46" s="187" t="str">
        <f>IF(I46&lt;1,"Liquidity Problem!","")</f>
        <v/>
      </c>
    </row>
    <row r="47" spans="2:10" ht="15" customHeight="1" x14ac:dyDescent="0.35">
      <c r="B47" s="183" t="s">
        <v>74</v>
      </c>
      <c r="C47" s="184">
        <f>C40+C41+C42</f>
        <v>188123</v>
      </c>
      <c r="D47" s="185">
        <f>IF(E47=0,0,E47/C47)</f>
        <v>0.14252776109247672</v>
      </c>
      <c r="E47" s="176">
        <f>E40+E41+E42</f>
        <v>26812.75</v>
      </c>
      <c r="F47" s="3"/>
      <c r="G47" s="3"/>
      <c r="H47" s="183" t="s">
        <v>75</v>
      </c>
      <c r="I47" s="168">
        <f>(E44+E45+E24+E25)/$I$49</f>
        <v>0.31725973816303166</v>
      </c>
      <c r="J47" s="187" t="str">
        <f>IF(OR(I47&lt;0.5,C49&lt;I49),"Liquidity Issue!","")</f>
        <v>Liquidity Issue!</v>
      </c>
    </row>
    <row r="48" spans="2:10" ht="15" customHeight="1" thickBot="1" x14ac:dyDescent="0.4">
      <c r="B48" s="91" t="s">
        <v>76</v>
      </c>
      <c r="C48" s="194">
        <f>SUM(C30:C42)</f>
        <v>2095926</v>
      </c>
      <c r="D48" s="195">
        <f>E48/C48</f>
        <v>0.10394939993110446</v>
      </c>
      <c r="E48" s="196">
        <f>SUM(E30:E42)</f>
        <v>217870.25000000003</v>
      </c>
      <c r="F48" s="3"/>
      <c r="G48" s="3"/>
      <c r="H48" s="91" t="s">
        <v>77</v>
      </c>
      <c r="I48" s="197">
        <f>I49-I28</f>
        <v>373503</v>
      </c>
      <c r="J48" s="187"/>
    </row>
    <row r="49" spans="2:11" ht="15" customHeight="1" thickTop="1" x14ac:dyDescent="0.35">
      <c r="B49" s="9" t="s">
        <v>13</v>
      </c>
      <c r="C49" s="184">
        <f>Inputs!C41+Inputs!C37</f>
        <v>2768297</v>
      </c>
      <c r="D49" s="170">
        <f>E49/C49</f>
        <v>0.22704435253876304</v>
      </c>
      <c r="E49" s="176">
        <f>E28+E48</f>
        <v>628526.20000000007</v>
      </c>
      <c r="F49" s="3"/>
      <c r="G49" s="3"/>
      <c r="H49" s="9" t="s">
        <v>78</v>
      </c>
      <c r="I49" s="175">
        <f>Inputs!C37</f>
        <v>1090144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188249</v>
      </c>
      <c r="D53" s="34">
        <f>IF(E53=0, 0,E53/C53)</f>
        <v>1</v>
      </c>
      <c r="E53" s="176">
        <f>IF(C53=0,0,MAX(C53,C53*Dashboard!G23))</f>
        <v>188249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133544</v>
      </c>
      <c r="E56" s="317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18">
        <f>Inputs!C84</f>
        <v>0</v>
      </c>
      <c r="E57" s="317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302501</v>
      </c>
      <c r="D61" s="170">
        <f t="shared" ref="D61:D70" si="2">IF(E61=0,0,E61/C61)</f>
        <v>0.11635531783366007</v>
      </c>
      <c r="E61" s="182">
        <f>E14+E15+(E19*G19)+(E20*G20)+E31+E32+(E35*G35)+(E36*G36)+(E37*G37)</f>
        <v>35197.600000000006</v>
      </c>
      <c r="F61" s="3"/>
      <c r="G61" s="3"/>
      <c r="H61" s="2" t="s">
        <v>253</v>
      </c>
      <c r="I61" s="203">
        <f>C99*Data!$C$4/Common_Shares</f>
        <v>-2.6771915567987223</v>
      </c>
      <c r="K61" s="172"/>
    </row>
    <row r="62" spans="2:11" ht="11.65" x14ac:dyDescent="0.35">
      <c r="B62" s="12" t="s">
        <v>127</v>
      </c>
      <c r="C62" s="204">
        <f>C11+C30</f>
        <v>238880</v>
      </c>
      <c r="D62" s="205">
        <f t="shared" si="2"/>
        <v>0.9</v>
      </c>
      <c r="E62" s="206">
        <f>E11+E30</f>
        <v>214992</v>
      </c>
      <c r="F62" s="3"/>
      <c r="G62" s="3"/>
      <c r="H62" s="2" t="s">
        <v>274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541381</v>
      </c>
      <c r="D63" s="34">
        <f t="shared" si="2"/>
        <v>0.46213221372748581</v>
      </c>
      <c r="E63" s="184">
        <f>E61+E62</f>
        <v>250189.6</v>
      </c>
      <c r="F63" s="3"/>
      <c r="G63" s="3"/>
      <c r="H63" s="2" t="s">
        <v>254</v>
      </c>
      <c r="I63" s="207">
        <f>IF(I61&gt;0,FV(I62,D93,0,-I61),I61)</f>
        <v>-2.6771915567987223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133544</v>
      </c>
      <c r="F64" s="3"/>
      <c r="G64" s="3"/>
      <c r="H64" s="2" t="s">
        <v>255</v>
      </c>
      <c r="I64" s="207">
        <f>IF(I61&gt;0,PV(C94,D93,0,-I63),I61)</f>
        <v>-2.6771915567987223</v>
      </c>
      <c r="K64" s="172"/>
    </row>
    <row r="65" spans="1:11" ht="12" thickTop="1" x14ac:dyDescent="0.35">
      <c r="B65" s="9" t="s">
        <v>130</v>
      </c>
      <c r="C65" s="202">
        <f>C63-E64</f>
        <v>407837</v>
      </c>
      <c r="D65" s="34">
        <f t="shared" si="2"/>
        <v>0.28601034236717121</v>
      </c>
      <c r="E65" s="184">
        <f>E63-E64</f>
        <v>116645.6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2226916</v>
      </c>
      <c r="D68" s="34">
        <f t="shared" si="2"/>
        <v>0.16989262280211742</v>
      </c>
      <c r="E68" s="202">
        <f>E49-E63</f>
        <v>378336.60000000009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956600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1270316</v>
      </c>
      <c r="D70" s="34">
        <f t="shared" si="2"/>
        <v>-0.45521224640168267</v>
      </c>
      <c r="E70" s="202">
        <f>E68-E69</f>
        <v>-578263.39999999991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3011012</v>
      </c>
      <c r="D74" s="98"/>
      <c r="E74" s="256">
        <f>Inputs!E91</f>
        <v>3011012</v>
      </c>
      <c r="F74" s="98"/>
      <c r="H74" s="256">
        <f>Inputs!F91</f>
        <v>3011012</v>
      </c>
      <c r="I74" s="98"/>
      <c r="K74" s="75"/>
    </row>
    <row r="75" spans="1:11" ht="15" customHeight="1" x14ac:dyDescent="0.35">
      <c r="B75" s="100" t="s">
        <v>97</v>
      </c>
      <c r="C75" s="97">
        <f>Data!C8</f>
        <v>2597400</v>
      </c>
      <c r="D75" s="101">
        <f>C75/$C$74</f>
        <v>0.86263355974668987</v>
      </c>
      <c r="E75" s="256">
        <f>Inputs!E92</f>
        <v>2634635.5</v>
      </c>
      <c r="F75" s="211">
        <f>E75/E74</f>
        <v>0.875</v>
      </c>
      <c r="H75" s="256">
        <f>Inputs!F92</f>
        <v>2597400</v>
      </c>
      <c r="I75" s="211">
        <f>H75/$H$74</f>
        <v>0.86263355974668987</v>
      </c>
      <c r="K75" s="75"/>
    </row>
    <row r="76" spans="1:11" ht="15" customHeight="1" x14ac:dyDescent="0.35">
      <c r="B76" s="12" t="s">
        <v>87</v>
      </c>
      <c r="C76" s="145">
        <f>C74-C75</f>
        <v>413612</v>
      </c>
      <c r="D76" s="212"/>
      <c r="E76" s="213">
        <f>E74-E75</f>
        <v>376376.5</v>
      </c>
      <c r="F76" s="212"/>
      <c r="H76" s="213">
        <f>H74-H75</f>
        <v>413612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147240</v>
      </c>
      <c r="D77" s="101">
        <f>C77/$C$74</f>
        <v>4.8900502555287058E-2</v>
      </c>
      <c r="E77" s="256">
        <f>Inputs!E93</f>
        <v>151755.0048</v>
      </c>
      <c r="F77" s="211">
        <f>E77/E74</f>
        <v>5.04E-2</v>
      </c>
      <c r="H77" s="256">
        <f>Inputs!F93</f>
        <v>151755.0048</v>
      </c>
      <c r="I77" s="211">
        <f>H77/$H$74</f>
        <v>5.04E-2</v>
      </c>
      <c r="K77" s="75"/>
    </row>
    <row r="78" spans="1:11" ht="15" customHeight="1" x14ac:dyDescent="0.35">
      <c r="B78" s="93" t="s">
        <v>150</v>
      </c>
      <c r="C78" s="97">
        <f>MAX(Data!C12,0)</f>
        <v>27574.666666666668</v>
      </c>
      <c r="D78" s="101">
        <f>C78/$C$74</f>
        <v>9.1579398111554088E-3</v>
      </c>
      <c r="E78" s="214">
        <f>E74*F78</f>
        <v>27574.666666666672</v>
      </c>
      <c r="F78" s="211">
        <f>I78</f>
        <v>9.1579398111554088E-3</v>
      </c>
      <c r="H78" s="256">
        <f>Inputs!F97</f>
        <v>27574.666666666672</v>
      </c>
      <c r="I78" s="211">
        <f>H78/$H$74</f>
        <v>9.1579398111554088E-3</v>
      </c>
      <c r="K78" s="75"/>
    </row>
    <row r="79" spans="1:11" ht="15" customHeight="1" x14ac:dyDescent="0.35">
      <c r="B79" s="215" t="s">
        <v>203</v>
      </c>
      <c r="C79" s="216">
        <f>C76-C77-C78</f>
        <v>238797.33333333334</v>
      </c>
      <c r="D79" s="217">
        <f>C79/C74</f>
        <v>7.9307997886867723E-2</v>
      </c>
      <c r="E79" s="218">
        <f>E76-E77-E78</f>
        <v>197046.82853333332</v>
      </c>
      <c r="F79" s="217">
        <f>E79/E74</f>
        <v>6.5442060188844589E-2</v>
      </c>
      <c r="G79" s="219"/>
      <c r="H79" s="218">
        <f>H76-H77-H78</f>
        <v>234282.32853333332</v>
      </c>
      <c r="I79" s="217">
        <f>H79/H74</f>
        <v>7.7808500442154774E-2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24063</v>
      </c>
      <c r="D81" s="101">
        <f>C81/$C$74</f>
        <v>7.9916652607163307E-3</v>
      </c>
      <c r="E81" s="214">
        <f>E74*F81</f>
        <v>24063</v>
      </c>
      <c r="F81" s="211">
        <f>I81</f>
        <v>7.9916652607163307E-3</v>
      </c>
      <c r="H81" s="256">
        <f>Inputs!F94</f>
        <v>24063</v>
      </c>
      <c r="I81" s="211">
        <f>H81/$H$74</f>
        <v>7.9916652607163307E-3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35067</v>
      </c>
      <c r="D82" s="101">
        <f>C82/$C$74</f>
        <v>1.1646250496510809E-2</v>
      </c>
      <c r="E82" s="256">
        <f>Inputs!E95</f>
        <v>60220.24</v>
      </c>
      <c r="F82" s="211">
        <f>E82/E74</f>
        <v>0.02</v>
      </c>
      <c r="H82" s="256">
        <f>Inputs!F95</f>
        <v>60220.24</v>
      </c>
      <c r="I82" s="211">
        <f>H82/$H$74</f>
        <v>0.02</v>
      </c>
      <c r="K82" s="75"/>
    </row>
    <row r="83" spans="1:11" ht="15" customHeight="1" thickBot="1" x14ac:dyDescent="0.4">
      <c r="B83" s="221" t="s">
        <v>113</v>
      </c>
      <c r="C83" s="222">
        <f>C79-C81-C82-C80</f>
        <v>179667.33333333334</v>
      </c>
      <c r="D83" s="223">
        <f>C83/$C$74</f>
        <v>5.9670082129640582E-2</v>
      </c>
      <c r="E83" s="224">
        <f>E79-E81-E82-E80</f>
        <v>112763.58853333333</v>
      </c>
      <c r="F83" s="223">
        <f>E83/E74</f>
        <v>3.745039492812826E-2</v>
      </c>
      <c r="H83" s="224">
        <f>H79-H81-H82-H80</f>
        <v>149999.08853333333</v>
      </c>
      <c r="I83" s="223">
        <f>H83/$H$74</f>
        <v>4.9816835181438444E-2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134750.5</v>
      </c>
      <c r="D85" s="217">
        <f>C85/$C$74</f>
        <v>4.4752561597230435E-2</v>
      </c>
      <c r="E85" s="229">
        <f>E83*(1-F84)</f>
        <v>84572.691399999996</v>
      </c>
      <c r="F85" s="217">
        <f>E85/E74</f>
        <v>2.8087796196096197E-2</v>
      </c>
      <c r="G85" s="219"/>
      <c r="H85" s="229">
        <f>H83*(1-I84)</f>
        <v>112499.3164</v>
      </c>
      <c r="I85" s="217">
        <f>H85/$H$74</f>
        <v>3.7362626386078832E-2</v>
      </c>
      <c r="K85" s="75"/>
    </row>
    <row r="86" spans="1:11" ht="15" customHeight="1" x14ac:dyDescent="0.35">
      <c r="B86" s="3" t="s">
        <v>143</v>
      </c>
      <c r="C86" s="230">
        <f>C85*Data!C4/Common_Shares</f>
        <v>0.73625713077546118</v>
      </c>
      <c r="D86" s="98"/>
      <c r="E86" s="231">
        <f>E85*Data!C4/Common_Shares</f>
        <v>0.46209288360430956</v>
      </c>
      <c r="F86" s="98"/>
      <c r="H86" s="231">
        <f>H85*Data!C4/Common_Shares</f>
        <v>0.61467990031105468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0.12464066122852945</v>
      </c>
      <c r="D87" s="98"/>
      <c r="E87" s="233">
        <f>E86*Exchange_Rate/Dashboard!G3</f>
        <v>7.8227510680645818E-2</v>
      </c>
      <c r="F87" s="98"/>
      <c r="H87" s="233">
        <f>H86*Exchange_Rate/Dashboard!G3</f>
        <v>0.10405890281560028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0.45</v>
      </c>
      <c r="D88" s="235">
        <f>C88/C86</f>
        <v>0.61119951330867051</v>
      </c>
      <c r="E88" s="255">
        <f>Inputs!E98</f>
        <v>0.36000000000000004</v>
      </c>
      <c r="F88" s="235">
        <f>E88/E86</f>
        <v>0.77906415089540371</v>
      </c>
      <c r="H88" s="255">
        <f>Inputs!F98</f>
        <v>0.45</v>
      </c>
      <c r="I88" s="235">
        <f>H88/H86</f>
        <v>0.73208835976624664</v>
      </c>
      <c r="K88" s="75"/>
    </row>
    <row r="89" spans="1:11" ht="15" customHeight="1" x14ac:dyDescent="0.35">
      <c r="B89" s="3" t="s">
        <v>193</v>
      </c>
      <c r="C89" s="232">
        <f>C88*Exchange_Rate/Dashboard!G3</f>
        <v>7.6180311481348073E-2</v>
      </c>
      <c r="D89" s="98"/>
      <c r="E89" s="232">
        <f>E88*Exchange_Rate/Dashboard!G3</f>
        <v>6.0944249185078458E-2</v>
      </c>
      <c r="F89" s="98"/>
      <c r="H89" s="232">
        <f>H88*Exchange_Rate/Dashboard!G3</f>
        <v>7.6180311481348073E-2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11.048859096464662</v>
      </c>
      <c r="H93" s="3" t="s">
        <v>182</v>
      </c>
      <c r="I93" s="237">
        <f>FV(H87,D93,0,-(H86/(C93-D94)))*Exchange_Rate</f>
        <v>16.157140790976509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8.0689917929891699</v>
      </c>
      <c r="H94" s="3" t="s">
        <v>183</v>
      </c>
      <c r="I94" s="237">
        <f>FV(H89,D93,0,-(H88/(C93-D94)))*Exchange_Rate</f>
        <v>10.678228360524287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1690729.0676106021</v>
      </c>
      <c r="D97" s="244"/>
      <c r="E97" s="245">
        <f>PV(C94,D93,0,-F93)</f>
        <v>6.3172210485037805</v>
      </c>
      <c r="F97" s="244"/>
      <c r="H97" s="245">
        <f>PV(C94,D93,0,-I93)</f>
        <v>9.2378976867444091</v>
      </c>
      <c r="I97" s="245">
        <f>PV(C93,D93,0,-I93)</f>
        <v>11.875980817203034</v>
      </c>
      <c r="K97" s="75"/>
    </row>
    <row r="98" spans="2:11" ht="15" customHeight="1" x14ac:dyDescent="0.35">
      <c r="B98" s="18" t="s">
        <v>132</v>
      </c>
      <c r="C98" s="243">
        <f>-E53*Exchange_Rate</f>
        <v>-199816.08655432859</v>
      </c>
      <c r="D98" s="244"/>
      <c r="E98" s="244"/>
      <c r="F98" s="244"/>
      <c r="H98" s="245">
        <f>C98*Data!$C$4/Common_Shares</f>
        <v>-1.0917660310668322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-489982.2165313958</v>
      </c>
      <c r="D99" s="248"/>
      <c r="E99" s="249">
        <f>IF(H99&gt;0,I64,H99)</f>
        <v>-2.6771915567987223</v>
      </c>
      <c r="F99" s="248"/>
      <c r="H99" s="249">
        <f>I64</f>
        <v>-2.6771915567987223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2.5482634606382257</v>
      </c>
      <c r="E100" s="251">
        <f>MAX(E97+H98+E99,0)</f>
        <v>2.5482634606382257</v>
      </c>
      <c r="F100" s="251">
        <f>(E100+H100)/2</f>
        <v>4.00860177975854</v>
      </c>
      <c r="H100" s="251">
        <f>MAX(H97+H98+H99,0)</f>
        <v>5.4689400988788544</v>
      </c>
      <c r="I100" s="251">
        <f>MAX(I97+H98+H99,0)</f>
        <v>8.1070232293374787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4.5554831866628387</v>
      </c>
      <c r="E103" s="245">
        <f>PV(C94,D93,0,-F94)</f>
        <v>4.6134722463051077</v>
      </c>
      <c r="F103" s="251">
        <f>(E103+H103)/2</f>
        <v>5.3593919843092221</v>
      </c>
      <c r="H103" s="245">
        <f>PV(C94,D93,0,-I94)</f>
        <v>6.1053117223133366</v>
      </c>
      <c r="I103" s="251">
        <f>PV(C93,D93,0,-I94)</f>
        <v>7.8488166199630784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3.5518733236505322</v>
      </c>
      <c r="E106" s="245">
        <f>(E100+E103)/2</f>
        <v>3.5808678534716667</v>
      </c>
      <c r="F106" s="251">
        <f>(F100+F103)/2</f>
        <v>4.6839968820338811</v>
      </c>
      <c r="H106" s="245">
        <f>(H100+H103)/2</f>
        <v>5.7871259105960959</v>
      </c>
      <c r="I106" s="245">
        <f>(I100+I103)/2</f>
        <v>7.9779199246502781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45605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2025-01-14T02:29:10Z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