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48A52B-71E0-4D63-97A6-17A87DD7EA1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3" i="4"/>
  <c r="C33" i="4"/>
  <c r="D32" i="4"/>
  <c r="C32" i="4"/>
  <c r="F95" i="4" l="1"/>
  <c r="F96" i="4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<sst xmlns="http://schemas.openxmlformats.org/spreadsheetml/2006/main" count="405" uniqueCount="288">
  <si>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</si>
  <si>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</si>
  <si>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</si>
  <si>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</si>
  <si>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</si>
  <si>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</si>
  <si>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</si>
  <si>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</si>
  <si>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</si>
  <si>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</si>
  <si>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</si>
  <si>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</si>
  <si>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</si>
  <si>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</si>
  <si>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</si>
  <si>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</si>
  <si>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</si>
  <si>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</si>
  <si>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</si>
  <si>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</si>
  <si>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</si>
  <si>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</si>
  <si>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</si>
  <si>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</si>
  <si>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</si>
  <si>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</si>
  <si>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</si>
  <si>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</si>
  <si>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</si>
  <si>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</si>
  <si>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</si>
  <si>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</si>
  <si>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</si>
  <si>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</si>
  <si>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</si>
  <si>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</si>
  <si>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</si>
  <si>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</si>
  <si>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</si>
  <si>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</si>
  <si>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</si>
  <si>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</si>
  <si>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</si>
  <si>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</si>
  <si>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</si>
  <si>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</si>
  <si>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</si>
  <si>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</si>
  <si>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</si>
  <si>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</si>
  <si>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</si>
  <si>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</si>
  <si>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</si>
  <si>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</si>
  <si>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</si>
  <si>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</si>
  <si>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</si>
  <si>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</si>
  <si>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</si>
  <si>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</si>
  <si>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</si>
  <si>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</si>
  <si>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</si>
  <si>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</si>
  <si>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</si>
  <si>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</si>
  <si>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</si>
  <si>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</si>
  <si>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</si>
  <si>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</si>
  <si>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</si>
  <si>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</si>
  <si>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</si>
  <si>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</si>
  <si>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</si>
  <si>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</si>
  <si>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</si>
  <si>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</si>
  <si>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</si>
  <si>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</si>
  <si>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</si>
  <si>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</si>
  <si>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</si>
  <si>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</si>
  <si>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</si>
  <si>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</si>
  <si>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</si>
  <si>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</si>
  <si>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</si>
  <si>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</si>
  <si>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</si>
  <si>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</si>
  <si>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</si>
  <si>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</si>
  <si>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</si>
  <si>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</si>
  <si>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</si>
  <si>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</si>
  <si>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</si>
  <si>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</si>
  <si>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</si>
  <si>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</si>
  <si>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</si>
  <si>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</si>
  <si>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</si>
  <si>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</si>
  <si>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</si>
  <si>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</si>
  <si>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</si>
  <si>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</si>
  <si>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</si>
  <si>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</si>
  <si>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</si>
  <si>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</si>
  <si>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</si>
  <si>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</si>
  <si>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</si>
  <si>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</si>
  <si>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</si>
  <si>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</si>
  <si>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</si>
  <si>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</si>
  <si>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</si>
  <si>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</si>
  <si>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</si>
  <si>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</si>
  <si>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</si>
  <si>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</si>
  <si>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</si>
  <si>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</si>
  <si>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</si>
  <si>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</si>
  <si>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</si>
  <si>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</si>
  <si>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</si>
  <si>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</si>
  <si>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</si>
  <si>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</si>
  <si>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</si>
  <si>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</si>
  <si>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</si>
  <si>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</si>
  <si>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</si>
  <si>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</si>
  <si>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</si>
  <si>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</si>
  <si>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</si>
  <si>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</si>
  <si>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</si>
  <si>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</si>
  <si>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</si>
  <si>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</si>
  <si>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</si>
  <si>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</si>
  <si>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</si>
  <si>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</si>
  <si>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</si>
  <si>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</si>
  <si>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</si>
  <si>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</si>
  <si>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</si>
  <si>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</si>
  <si>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</si>
  <si>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</si>
  <si>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</si>
  <si>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</si>
  <si>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</si>
  <si>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</si>
  <si>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</si>
  <si>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</si>
  <si>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</si>
  <si>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</si>
  <si>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</si>
  <si>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</si>
  <si>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</si>
  <si>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</si>
  <si>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</si>
  <si>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</si>
  <si>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</si>
  <si>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</si>
  <si>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</si>
  <si>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</si>
  <si>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</si>
  <si>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</si>
  <si>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</si>
  <si>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</si>
  <si>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</si>
  <si>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</si>
  <si>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</si>
  <si>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</si>
  <si>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</si>
  <si>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</si>
  <si>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</si>
  <si>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</si>
  <si>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</si>
  <si>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</si>
  <si>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</si>
  <si>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</si>
  <si>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</si>
  <si>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</si>
  <si>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</si>
  <si>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</si>
  <si>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</si>
  <si>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</si>
  <si>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</si>
  <si>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</si>
  <si>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</si>
  <si>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</si>
  <si>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</si>
  <si>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</si>
  <si>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</si>
  <si>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</si>
  <si>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</si>
  <si>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</si>
  <si>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</si>
  <si>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</si>
  <si>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</si>
  <si>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</si>
  <si>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</si>
  <si>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</si>
  <si>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</si>
  <si>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</si>
  <si>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</si>
  <si>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</si>
  <si>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</si>
  <si>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</si>
  <si>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</si>
  <si>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</si>
  <si>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</si>
  <si>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</si>
  <si>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</si>
  <si>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</si>
  <si>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</si>
  <si>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</si>
  <si>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</si>
  <si>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</si>
  <si>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</si>
  <si>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</si>
  <si>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</si>
  <si>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</si>
  <si>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</si>
  <si>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</si>
  <si>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</si>
  <si>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</si>
  <si>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</si>
  <si>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</si>
  <si>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</si>
  <si>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</si>
  <si>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</si>
  <si>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</si>
  <si>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</si>
  <si>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</si>
  <si>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</si>
  <si>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</si>
  <si>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</si>
  <si>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</si>
  <si>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</si>
  <si>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</si>
  <si>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</si>
  <si>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</si>
  <si>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</si>
  <si>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</si>
  <si>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</si>
  <si>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</si>
  <si>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</si>
  <si>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</si>
  <si>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</si>
  <si>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</si>
  <si>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</si>
  <si>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</si>
  <si>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</si>
  <si>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</si>
  <si>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</si>
  <si>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</si>
  <si>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</si>
  <si>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</si>
  <si>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</si>
  <si>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</si>
  <si>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</si>
  <si>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</si>
  <si>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</si>
  <si>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</si>
  <si>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</si>
  <si>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</si>
  <si>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</si>
  <si>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0868.HK</t>
  </si>
  <si>
    <t>信義玻璃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</si>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</sst>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45637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4357192919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26798520</v>
      </c>
      <c r="D25" s="77">
        <v>25745990</v>
      </c>
      <c r="E25" s="77">
        <v>30459120</v>
      </c>
      <c r="F25" s="77">
        <v>18615879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18186761</v>
      </c>
      <c r="D26" s="78">
        <v>17059615</v>
      </c>
      <c r="E26" s="78">
        <v>14681992</v>
      </c>
      <c r="F26" s="78">
        <v>10844444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3573515</v>
      </c>
      <c r="D27" s="78">
        <v>4198444</v>
      </c>
      <c r="E27" s="78">
        <v>4008221</v>
      </c>
      <c r="F27" s="78">
        <v>2747516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503407</v>
      </c>
      <c r="D29" s="78">
        <v>371540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17050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13591</v>
      </c>
      <c r="D31" s="78">
        <v>17050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f>-539556+1297916+445427</f>
        <v>1203787</v>
      </c>
      <c r="D32" s="78">
        <f>230219-849431-1055691</f>
        <v>-1674903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f>1378926+129432+3564</f>
        <v>1511922</v>
      </c>
      <c r="D33" s="78">
        <f>1355835+136557+2729</f>
        <v>1495121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3513900</v>
      </c>
      <c r="D34" s="78">
        <v>2624400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0.37+0.26</f>
        <v>0.63</v>
      </c>
      <c r="D44" s="81">
        <f>0.22+0.4</f>
        <v>0.62</v>
      </c>
      <c r="E44" s="81">
        <f>0.76+0.66</f>
        <v>1.42</v>
      </c>
      <c r="F44" s="81">
        <f>0.62+0.17</f>
        <v>0.79</v>
      </c>
      <c r="G44" s="81">
        <f>0.3+0.25</f>
        <v>0.55000000000000004</v>
      </c>
      <c r="H44" s="81">
        <f>0.27+0.25</f>
        <v>0.52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9.2105263157894746E-2</v>
      </c>
      <c r="D45" s="82">
        <f>IF(D44="","",D44*Exchange_Rate/Dashboard!$G$3)</f>
        <v>9.0643274853801165E-2</v>
      </c>
      <c r="E45" s="82">
        <f>IF(E44="","",E44*Exchange_Rate/Dashboard!$G$3)</f>
        <v>0.20760233918128654</v>
      </c>
      <c r="F45" s="82">
        <f>IF(F44="","",F44*Exchange_Rate/Dashboard!$G$3)</f>
        <v>0.11549707602339182</v>
      </c>
      <c r="G45" s="82">
        <f>IF(G44="","",G44*Exchange_Rate/Dashboard!$G$3)</f>
        <v>8.0409356725146208E-2</v>
      </c>
      <c r="H45" s="82">
        <f>IF(H44="","",H44*Exchange_Rate/Dashboard!$G$3)</f>
        <v>7.6023391812865507E-2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26798520</v>
      </c>
      <c r="D91" s="98"/>
      <c r="E91" s="99">
        <f>C91</f>
        <v>26798520</v>
      </c>
      <c r="F91" s="99">
        <f>C91</f>
        <v>26798520</v>
      </c>
    </row>
    <row r="92" spans="2:8" x14ac:dyDescent="0.35">
      <c r="B92" s="100" t="s">
        <v>98</v>
      </c>
      <c r="C92" s="97">
        <f>C26</f>
        <v>18186761</v>
      </c>
      <c r="D92" s="101">
        <f>C92/C91</f>
        <v>0.67864796264868354</v>
      </c>
      <c r="E92" s="102">
        <f>E91*D92</f>
        <v>18186761</v>
      </c>
      <c r="F92" s="102">
        <f>F91*D92</f>
        <v>18186761</v>
      </c>
    </row>
    <row r="93" spans="2:8" x14ac:dyDescent="0.35">
      <c r="B93" s="100" t="s">
        <v>217</v>
      </c>
      <c r="C93" s="97">
        <f>C27+C28</f>
        <v>3573515</v>
      </c>
      <c r="D93" s="101">
        <f>C93/C91</f>
        <v>0.13334747590538581</v>
      </c>
      <c r="E93" s="102">
        <f>E91*D93</f>
        <v>3573515</v>
      </c>
      <c r="F93" s="102">
        <f>F91*D93</f>
        <v>3573515</v>
      </c>
    </row>
    <row r="94" spans="2:8" x14ac:dyDescent="0.35">
      <c r="B94" s="100" t="s">
        <v>223</v>
      </c>
      <c r="C94" s="97">
        <f>C29</f>
        <v>503407</v>
      </c>
      <c r="D94" s="101">
        <f>C94/C91</f>
        <v>1.8784880657588553E-2</v>
      </c>
      <c r="E94" s="103"/>
      <c r="F94" s="102">
        <f>F91*D94</f>
        <v>503407</v>
      </c>
    </row>
    <row r="95" spans="2:8" x14ac:dyDescent="0.35">
      <c r="B95" s="18" t="s">
        <v>216</v>
      </c>
      <c r="C95" s="97">
        <f>ABS(MAX(C34,0)-C33)</f>
        <v>2001978</v>
      </c>
      <c r="D95" s="101">
        <f>C95/C91</f>
        <v>7.4704797130587808E-2</v>
      </c>
      <c r="E95" s="102">
        <f>E91*4%</f>
        <v>1071940.8</v>
      </c>
      <c r="F95" s="102">
        <f>F91*3%</f>
        <v>803955.6</v>
      </c>
    </row>
    <row r="96" spans="2:8" x14ac:dyDescent="0.35">
      <c r="B96" s="18" t="s">
        <v>102</v>
      </c>
      <c r="C96" s="97">
        <f>MAX(C32,0)</f>
        <v>1203787</v>
      </c>
      <c r="D96" s="101">
        <f>C96/C91</f>
        <v>4.491990602466106E-2</v>
      </c>
      <c r="E96" s="103"/>
      <c r="F96" s="102">
        <f>F91*D96</f>
        <v>1203787</v>
      </c>
    </row>
    <row r="97" spans="2:6" x14ac:dyDescent="0.35">
      <c r="B97" s="93" t="s">
        <v>151</v>
      </c>
      <c r="C97" s="97">
        <f>MAX(C31,0)/(1-C16)</f>
        <v>18121.333333333332</v>
      </c>
      <c r="D97" s="101">
        <f>C97/C91</f>
        <v>6.7620649697570359E-4</v>
      </c>
      <c r="E97" s="103"/>
      <c r="F97" s="102">
        <f>F91*D97</f>
        <v>18121.333333333332</v>
      </c>
    </row>
    <row r="98" spans="2:6" x14ac:dyDescent="0.35">
      <c r="B98" s="8" t="s">
        <v>181</v>
      </c>
      <c r="C98" s="104">
        <f>C44</f>
        <v>0.63</v>
      </c>
      <c r="D98" s="105"/>
      <c r="E98" s="106">
        <f>F98</f>
        <v>0.63</v>
      </c>
      <c r="F98" s="106">
        <f>C98</f>
        <v>0.63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0868.HK : 信義玻璃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0868.HK</v>
      </c>
      <c r="D3" s="313"/>
      <c r="E3" s="3"/>
      <c r="F3" s="9" t="s">
        <v>1</v>
      </c>
      <c r="G3" s="10">
        <v>6.84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信義玻璃</v>
      </c>
      <c r="D4" s="315"/>
      <c r="E4" s="3"/>
      <c r="F4" s="9" t="s">
        <v>3</v>
      </c>
      <c r="G4" s="318">
        <f>Inputs!C10</f>
        <v>4357192919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45637</v>
      </c>
      <c r="D5" s="317"/>
      <c r="E5" s="16"/>
      <c r="F5" s="12" t="s">
        <v>92</v>
      </c>
      <c r="G5" s="321">
        <f>G3*G4/1000000</f>
        <v>29803.19956596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C0006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0.18732835494895492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1.8784880657588553E-2</v>
      </c>
      <c r="F24" s="39" t="s">
        <v>225</v>
      </c>
      <c r="G24" s="43">
        <f>G3/(Fin_Analysis!H86*G7)</f>
        <v>15.838192904188475</v>
      </c>
    </row>
    <row r="25" spans="1:8" ht="15.75" customHeight="1" x14ac:dyDescent="0.35">
      <c r="B25" s="28" t="s">
        <v>241</v>
      </c>
      <c r="C25" s="44">
        <f>Fin_Analysis!I80</f>
        <v>4.491990602466106E-2</v>
      </c>
      <c r="F25" s="39" t="s">
        <v>152</v>
      </c>
      <c r="G25" s="44">
        <f>Fin_Analysis!I88</f>
        <v>1.4587809253857806</v>
      </c>
    </row>
    <row r="26" spans="1:8" ht="15.75" customHeight="1" x14ac:dyDescent="0.35">
      <c r="B26" s="45" t="s">
        <v>242</v>
      </c>
      <c r="C26" s="44">
        <f>Fin_Analysis!I80+Fin_Analysis!I82</f>
        <v>7.4919906024661059E-2</v>
      </c>
      <c r="F26" s="46" t="s">
        <v>167</v>
      </c>
      <c r="G26" s="47">
        <f>Fin_Analysis!H88*Exchange_Rate/G3</f>
        <v>9.2105263157894746E-2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4.1799376594867175</v>
      </c>
      <c r="D29" s="54">
        <f>G29*(1+G20)</f>
        <v>7.772512893464512</v>
      </c>
      <c r="E29" s="3"/>
      <c r="F29" s="55">
        <f>IF(Fin_Analysis!C108="Profit",Fin_Analysis!F100,IF(Fin_Analysis!C108="Dividend",Fin_Analysis!F103,Fin_Analysis!F106))</f>
        <v>4.9175737170431972</v>
      </c>
      <c r="G29" s="320">
        <f>IF(Fin_Analysis!C108="Profit",Fin_Analysis!I100,IF(Fin_Analysis!C108="Dividend",Fin_Analysis!I103,Fin_Analysis!I106))</f>
        <v>6.7587068638821846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5020122.666666667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26798520</v>
      </c>
      <c r="D6" s="142">
        <f>IF(Inputs!D25="","",Inputs!D25)</f>
        <v>25745990</v>
      </c>
      <c r="E6" s="142">
        <f>IF(Inputs!E25="","",Inputs!E25)</f>
        <v>30459120</v>
      </c>
      <c r="F6" s="142">
        <f>IF(Inputs!F25="","",Inputs!F25)</f>
        <v>18615879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4.0881317828523889E-2</v>
      </c>
      <c r="D7" s="143">
        <f t="shared" si="1"/>
        <v>-0.1547362497669007</v>
      </c>
      <c r="E7" s="143">
        <f t="shared" si="1"/>
        <v>0.63619026531059863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18186761</v>
      </c>
      <c r="D8" s="144">
        <f>IF(Inputs!D26="","",Inputs!D26)</f>
        <v>17059615</v>
      </c>
      <c r="E8" s="144">
        <f>IF(Inputs!E26="","",Inputs!E26)</f>
        <v>14681992</v>
      </c>
      <c r="F8" s="144">
        <f>IF(Inputs!F26="","",Inputs!F26)</f>
        <v>10844444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8611759</v>
      </c>
      <c r="D9" s="273">
        <f t="shared" si="2"/>
        <v>8686375</v>
      </c>
      <c r="E9" s="273">
        <f t="shared" si="2"/>
        <v>15777128</v>
      </c>
      <c r="F9" s="273">
        <f t="shared" si="2"/>
        <v>7771435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3573515</v>
      </c>
      <c r="D10" s="144">
        <f>IF(Inputs!D27="","",Inputs!D27)</f>
        <v>4198444</v>
      </c>
      <c r="E10" s="144">
        <f>IF(Inputs!E27="","",Inputs!E27)</f>
        <v>4008221</v>
      </c>
      <c r="F10" s="144">
        <f>IF(Inputs!F27="","",Inputs!F27)</f>
        <v>2747516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18121.333333333332</v>
      </c>
      <c r="D12" s="144">
        <f>IF(Inputs!D31="","",MAX(Inputs!D31,0)/(1-Fin_Analysis!$I$84))</f>
        <v>22733.333333333332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0.18732835494895492</v>
      </c>
      <c r="D13" s="292">
        <f t="shared" si="3"/>
        <v>0.17343274298897293</v>
      </c>
      <c r="E13" s="292">
        <f t="shared" si="3"/>
        <v>0.38638368409855572</v>
      </c>
      <c r="F13" s="292">
        <f t="shared" si="3"/>
        <v>0.26987277903987233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5020122.666666667</v>
      </c>
      <c r="D14" s="294">
        <f t="shared" ref="D14:M14" si="4">IF(D6="","",D9-D10-MAX(D11,0)-MAX(D12,0))</f>
        <v>4465197.666666667</v>
      </c>
      <c r="E14" s="294">
        <f t="shared" si="4"/>
        <v>11768907</v>
      </c>
      <c r="F14" s="294">
        <f t="shared" si="4"/>
        <v>5023919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0.1242778128597965</v>
      </c>
      <c r="D15" s="296">
        <f t="shared" ref="D15:M15" si="5">IF(E14="","",IF(ABS(D14+E14)=ABS(D14)+ABS(E14),IF(D14&lt;0,-1,1)*(D14-E14)/E14,"Turn"))</f>
        <v>-0.62059368243230517</v>
      </c>
      <c r="E15" s="296">
        <f t="shared" si="5"/>
        <v>1.3425749897639672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-4448147.666666667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17050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1203787</v>
      </c>
      <c r="D18" s="144">
        <f>IF(Inputs!D32="","",Inputs!D32)</f>
        <v>-1674903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503407</v>
      </c>
      <c r="D19" s="144">
        <f>IF(Inputs!D29="","",Inputs!D29)</f>
        <v>371540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5.6418115627280913E-2</v>
      </c>
      <c r="D20" s="227">
        <f t="shared" si="7"/>
        <v>5.8071994900953508E-2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1511922</v>
      </c>
      <c r="D21" s="144">
        <f>IF(Inputs!D33="","",Inputs!D33)</f>
        <v>1495121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0.13112291275786872</v>
      </c>
      <c r="D22" s="227">
        <f t="shared" si="8"/>
        <v>0.10193432064566171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3513900</v>
      </c>
      <c r="D23" s="144">
        <f>IF(Inputs!D34="","",Inputs!D34)</f>
        <v>2624400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1310950.666666667</v>
      </c>
      <c r="D24" s="309">
        <f t="shared" si="9"/>
        <v>2964378.666666667</v>
      </c>
      <c r="E24" s="309">
        <f t="shared" si="9"/>
        <v>11768907</v>
      </c>
      <c r="F24" s="309">
        <f t="shared" si="9"/>
        <v>5023919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3.6689078352088109E-2</v>
      </c>
      <c r="D25" s="143">
        <f t="shared" si="10"/>
        <v>8.6354574052114524E-2</v>
      </c>
      <c r="E25" s="143">
        <f t="shared" si="10"/>
        <v>0.28978776307391679</v>
      </c>
      <c r="F25" s="143">
        <f t="shared" si="10"/>
        <v>0.20240458427990426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983213.00000000023</v>
      </c>
      <c r="D26" s="276">
        <f>IF(D6="","",D24*(1-Fin_Analysis!$I$84))</f>
        <v>2223284</v>
      </c>
      <c r="E26" s="276">
        <f>IF(E6="","",E24*(1-Fin_Analysis!$I$84))</f>
        <v>8826680.25</v>
      </c>
      <c r="F26" s="276">
        <f>IF(F6="","",F24*(1-Fin_Analysis!$I$84))</f>
        <v>3767939.25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-0.55776544966814845</v>
      </c>
      <c r="D27" s="305">
        <f t="shared" si="11"/>
        <v>-0.74811775922210388</v>
      </c>
      <c r="E27" s="305">
        <f t="shared" si="11"/>
        <v>1.3425749897639672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0.67864796264868354</v>
      </c>
      <c r="D42" s="150">
        <f t="shared" si="35"/>
        <v>0.66261250781189618</v>
      </c>
      <c r="E42" s="150">
        <f t="shared" si="35"/>
        <v>0.48202285555196606</v>
      </c>
      <c r="F42" s="150">
        <f t="shared" si="35"/>
        <v>0.58253730592039199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0.13334747590538581</v>
      </c>
      <c r="D43" s="146">
        <f t="shared" si="36"/>
        <v>0.16307176379700294</v>
      </c>
      <c r="E43" s="146">
        <f t="shared" si="36"/>
        <v>0.13159346034947825</v>
      </c>
      <c r="F43" s="146">
        <f t="shared" si="36"/>
        <v>0.1475899150397357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4.491990602466106E-2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1.8784880657588553E-2</v>
      </c>
      <c r="D45" s="146">
        <f t="shared" si="38"/>
        <v>1.4430985174778675E-2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6.7620649697570359E-4</v>
      </c>
      <c r="D46" s="146">
        <f t="shared" si="39"/>
        <v>8.8298540212799473E-4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7.4704797130587808E-2</v>
      </c>
      <c r="D47" s="146">
        <f t="shared" si="40"/>
        <v>4.3862325744708205E-2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4.8918771136117478E-2</v>
      </c>
      <c r="D48" s="281">
        <f t="shared" si="41"/>
        <v>0.11513943206948604</v>
      </c>
      <c r="E48" s="281">
        <f t="shared" si="41"/>
        <v>0.38638368409855572</v>
      </c>
      <c r="F48" s="281">
        <f t="shared" si="41"/>
        <v>0.26987277903987233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1.14370801782372</v>
      </c>
      <c r="D53" s="146">
        <f t="shared" si="45"/>
        <v>0.35536957393494345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0.38400148289333025</v>
      </c>
      <c r="D57" s="146">
        <f t="shared" si="48"/>
        <v>0.12533486500150226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26798520</v>
      </c>
      <c r="D74" s="98"/>
      <c r="E74" s="256">
        <f>Inputs!E91</f>
        <v>26798520</v>
      </c>
      <c r="F74" s="98"/>
      <c r="H74" s="256">
        <f>Inputs!F91</f>
        <v>26798520</v>
      </c>
      <c r="I74" s="98"/>
      <c r="K74" s="75"/>
    </row>
    <row r="75" spans="1:11" ht="15" customHeight="1" x14ac:dyDescent="0.35">
      <c r="B75" s="100" t="s">
        <v>98</v>
      </c>
      <c r="C75" s="97">
        <f>Data!C8</f>
        <v>18186761</v>
      </c>
      <c r="D75" s="101">
        <f>C75/$C$74</f>
        <v>0.67864796264868354</v>
      </c>
      <c r="E75" s="256">
        <f>Inputs!E92</f>
        <v>18186761</v>
      </c>
      <c r="F75" s="211">
        <f>E75/E74</f>
        <v>0.67864796264868354</v>
      </c>
      <c r="H75" s="256">
        <f>Inputs!F92</f>
        <v>18186761</v>
      </c>
      <c r="I75" s="211">
        <f>H75/$H$74</f>
        <v>0.67864796264868354</v>
      </c>
      <c r="K75" s="75"/>
    </row>
    <row r="76" spans="1:11" ht="15" customHeight="1" x14ac:dyDescent="0.35">
      <c r="B76" s="12" t="s">
        <v>88</v>
      </c>
      <c r="C76" s="145">
        <f>C74-C75</f>
        <v>8611759</v>
      </c>
      <c r="D76" s="212"/>
      <c r="E76" s="213">
        <f>E74-E75</f>
        <v>8611759</v>
      </c>
      <c r="F76" s="212"/>
      <c r="H76" s="213">
        <f>H74-H75</f>
        <v>8611759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3573515</v>
      </c>
      <c r="D77" s="101">
        <f>C77/$C$74</f>
        <v>0.13334747590538581</v>
      </c>
      <c r="E77" s="256">
        <f>Inputs!E93</f>
        <v>3573515</v>
      </c>
      <c r="F77" s="211">
        <f>E77/E74</f>
        <v>0.13334747590538581</v>
      </c>
      <c r="H77" s="256">
        <f>Inputs!F93</f>
        <v>3573515</v>
      </c>
      <c r="I77" s="211">
        <f>H77/$H$74</f>
        <v>0.13334747590538581</v>
      </c>
      <c r="K77" s="75"/>
    </row>
    <row r="78" spans="1:11" ht="15" customHeight="1" x14ac:dyDescent="0.35">
      <c r="B78" s="93" t="s">
        <v>151</v>
      </c>
      <c r="C78" s="97">
        <f>MAX(Data!C12,0)</f>
        <v>18121.333333333332</v>
      </c>
      <c r="D78" s="101">
        <f>C78/$C$74</f>
        <v>6.7620649697570359E-4</v>
      </c>
      <c r="E78" s="214">
        <f>E74*F78</f>
        <v>18121.333333333332</v>
      </c>
      <c r="F78" s="211">
        <f>I78</f>
        <v>6.7620649697570359E-4</v>
      </c>
      <c r="H78" s="256">
        <f>Inputs!F97</f>
        <v>18121.333333333332</v>
      </c>
      <c r="I78" s="211">
        <f>H78/$H$74</f>
        <v>6.7620649697570359E-4</v>
      </c>
      <c r="K78" s="75"/>
    </row>
    <row r="79" spans="1:11" ht="15" customHeight="1" x14ac:dyDescent="0.35">
      <c r="B79" s="215" t="s">
        <v>204</v>
      </c>
      <c r="C79" s="216">
        <f>C76-C77-C78</f>
        <v>5020122.666666667</v>
      </c>
      <c r="D79" s="217">
        <f>C79/C74</f>
        <v>0.18732835494895492</v>
      </c>
      <c r="E79" s="218">
        <f>E76-E77-E78</f>
        <v>5020122.666666667</v>
      </c>
      <c r="F79" s="217">
        <f>E79/E74</f>
        <v>0.18732835494895492</v>
      </c>
      <c r="G79" s="219"/>
      <c r="H79" s="218">
        <f>H76-H77-H78</f>
        <v>5020122.666666667</v>
      </c>
      <c r="I79" s="217">
        <f>H79/H74</f>
        <v>0.18732835494895492</v>
      </c>
      <c r="K79" s="75"/>
    </row>
    <row r="80" spans="1:11" ht="15" customHeight="1" x14ac:dyDescent="0.35">
      <c r="B80" s="18" t="s">
        <v>102</v>
      </c>
      <c r="C80" s="97">
        <f>MAX(Data!C18,0)</f>
        <v>1203787</v>
      </c>
      <c r="D80" s="101">
        <f>C80/$C$74</f>
        <v>4.491990602466106E-2</v>
      </c>
      <c r="E80" s="214">
        <f>E74*F80</f>
        <v>1203787</v>
      </c>
      <c r="F80" s="211">
        <f>I80</f>
        <v>4.491990602466106E-2</v>
      </c>
      <c r="H80" s="256">
        <f>Inputs!F96</f>
        <v>1203787</v>
      </c>
      <c r="I80" s="211">
        <f>H80/$H$74</f>
        <v>4.491990602466106E-2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503407</v>
      </c>
      <c r="D81" s="101">
        <f>C81/$C$74</f>
        <v>1.8784880657588553E-2</v>
      </c>
      <c r="E81" s="214">
        <f>E74*F81</f>
        <v>503407</v>
      </c>
      <c r="F81" s="211">
        <f>I81</f>
        <v>1.8784880657588553E-2</v>
      </c>
      <c r="H81" s="256">
        <f>Inputs!F94</f>
        <v>503407</v>
      </c>
      <c r="I81" s="211">
        <f>H81/$H$74</f>
        <v>1.8784880657588553E-2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2001978</v>
      </c>
      <c r="D82" s="101">
        <f>C82/$C$74</f>
        <v>7.4704797130587808E-2</v>
      </c>
      <c r="E82" s="256">
        <f>Inputs!E95</f>
        <v>1071940.8</v>
      </c>
      <c r="F82" s="211">
        <f>E82/E74</f>
        <v>0.04</v>
      </c>
      <c r="H82" s="256">
        <f>Inputs!F95</f>
        <v>803955.6</v>
      </c>
      <c r="I82" s="211">
        <f>H82/$H$74</f>
        <v>0.03</v>
      </c>
      <c r="K82" s="75"/>
    </row>
    <row r="83" spans="1:11" ht="15" customHeight="1" thickBot="1" x14ac:dyDescent="0.4">
      <c r="B83" s="221" t="s">
        <v>114</v>
      </c>
      <c r="C83" s="222">
        <f>C79-C81-C82-C80</f>
        <v>1310950.666666667</v>
      </c>
      <c r="D83" s="223">
        <f>C83/$C$74</f>
        <v>4.8918771136117478E-2</v>
      </c>
      <c r="E83" s="224">
        <f>E79-E81-E82-E80</f>
        <v>2240987.8666666672</v>
      </c>
      <c r="F83" s="223">
        <f>E83/E74</f>
        <v>8.3623568266705292E-2</v>
      </c>
      <c r="H83" s="224">
        <f>H79-H81-H82-H80</f>
        <v>2508973.0666666669</v>
      </c>
      <c r="I83" s="223">
        <f>H83/$H$74</f>
        <v>9.3623568266705287E-2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983213.00000000023</v>
      </c>
      <c r="D85" s="217">
        <f>C85/$C$74</f>
        <v>3.6689078352088109E-2</v>
      </c>
      <c r="E85" s="229">
        <f>E83*(1-F84)</f>
        <v>1680740.9000000004</v>
      </c>
      <c r="F85" s="217">
        <f>E85/E74</f>
        <v>6.2717676200028966E-2</v>
      </c>
      <c r="G85" s="219"/>
      <c r="H85" s="229">
        <f>H83*(1-I84)</f>
        <v>1881729.8000000003</v>
      </c>
      <c r="I85" s="217">
        <f>H85/$H$74</f>
        <v>7.0217676200028972E-2</v>
      </c>
      <c r="K85" s="75"/>
    </row>
    <row r="86" spans="1:11" ht="15" customHeight="1" x14ac:dyDescent="0.35">
      <c r="B86" s="3" t="s">
        <v>144</v>
      </c>
      <c r="C86" s="230">
        <f>C85*Data!C4/Common_Shares</f>
        <v>0.22565284996048629</v>
      </c>
      <c r="D86" s="98"/>
      <c r="E86" s="231">
        <f>E85*Data!C4/Common_Shares</f>
        <v>0.38573938112103145</v>
      </c>
      <c r="F86" s="98"/>
      <c r="H86" s="231">
        <f>H85*Data!C4/Common_Shares</f>
        <v>0.43186745112765573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3.2990182742761151E-2</v>
      </c>
      <c r="D87" s="98"/>
      <c r="E87" s="233">
        <f>E86*Exchange_Rate/Dashboard!G3</f>
        <v>5.6394646362723899E-2</v>
      </c>
      <c r="F87" s="98"/>
      <c r="H87" s="233">
        <f>H86*Exchange_Rate/Dashboard!G3</f>
        <v>6.3138516246733292E-2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0.63</v>
      </c>
      <c r="D88" s="235">
        <f>C88/C86</f>
        <v>2.791899150001067</v>
      </c>
      <c r="E88" s="255">
        <f>Inputs!E98</f>
        <v>0.63</v>
      </c>
      <c r="F88" s="235">
        <f>E88/E86</f>
        <v>1.6332270720430491</v>
      </c>
      <c r="H88" s="255">
        <f>Inputs!F98</f>
        <v>0.63</v>
      </c>
      <c r="I88" s="235">
        <f>H88/H86</f>
        <v>1.4587809253857806</v>
      </c>
      <c r="K88" s="75"/>
    </row>
    <row r="89" spans="1:11" ht="15" customHeight="1" x14ac:dyDescent="0.35">
      <c r="B89" s="3" t="s">
        <v>194</v>
      </c>
      <c r="C89" s="232">
        <f>C88*Exchange_Rate/Dashboard!G3</f>
        <v>9.2105263157894746E-2</v>
      </c>
      <c r="D89" s="98"/>
      <c r="E89" s="232">
        <f>E88*Exchange_Rate/Dashboard!G3</f>
        <v>9.2105263157894746E-2</v>
      </c>
      <c r="F89" s="98"/>
      <c r="H89" s="232">
        <f>H88*Exchange_Rate/Dashboard!G3</f>
        <v>9.2105263157894746E-2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8.0065882597006244</v>
      </c>
      <c r="H93" s="3" t="s">
        <v>183</v>
      </c>
      <c r="I93" s="237">
        <f>FV(H87,D93,0,-(H86/(C93-D94)))*Exchange_Rate</f>
        <v>9.1951460721879368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14.936446906220983</v>
      </c>
      <c r="H94" s="3" t="s">
        <v>184</v>
      </c>
      <c r="I94" s="237">
        <f>FV(H89,D93,0,-(H88/(C93-D94)))*Exchange_Rate</f>
        <v>14.936446906220983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22907308.281435788</v>
      </c>
      <c r="D97" s="244"/>
      <c r="E97" s="245">
        <f>PV(C94,D93,0,-F93)</f>
        <v>4.5777928236109089</v>
      </c>
      <c r="F97" s="244"/>
      <c r="H97" s="245">
        <f>PV(C94,D93,0,-I93)</f>
        <v>5.2573546104754856</v>
      </c>
      <c r="I97" s="245">
        <f>PV(C93,D93,0,-I93)</f>
        <v>6.7587068638821846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4.1799376594867175</v>
      </c>
      <c r="E100" s="251">
        <f>MAX(E97+H98+E99,0)</f>
        <v>4.5777928236109089</v>
      </c>
      <c r="F100" s="251">
        <f>(E100+H100)/2</f>
        <v>4.9175737170431972</v>
      </c>
      <c r="H100" s="251">
        <f>MAX(H97+H98+H99,0)</f>
        <v>5.2573546104754856</v>
      </c>
      <c r="I100" s="251">
        <f>MAX(I97+H98+H99,0)</f>
        <v>6.7587068638821846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7.2589676968208883</v>
      </c>
      <c r="E103" s="245">
        <f>PV(C94,D93,0,-F94)</f>
        <v>8.5399619962598692</v>
      </c>
      <c r="F103" s="251">
        <f>(E103+H103)/2</f>
        <v>8.5399619962598692</v>
      </c>
      <c r="H103" s="245">
        <f>PV(C94,D93,0,-I94)</f>
        <v>8.5399619962598692</v>
      </c>
      <c r="I103" s="251">
        <f>PV(C93,D93,0,-I94)</f>
        <v>10.978734370781648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5.7194526781538029</v>
      </c>
      <c r="E106" s="245">
        <f>(E100+E103)/2</f>
        <v>6.5588774099353895</v>
      </c>
      <c r="F106" s="251">
        <f>(F100+F103)/2</f>
        <v>6.7287678566515332</v>
      </c>
      <c r="H106" s="245">
        <f>(H100+H103)/2</f>
        <v>6.8986583033676769</v>
      </c>
      <c r="I106" s="245">
        <f>(I100+I103)/2</f>
        <v>8.8687206173319169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