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AD286D3-BF43-4CA7-88FD-9CD03D94D24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F44" i="4"/>
  <c r="E44" i="4"/>
  <c r="D44" i="4"/>
  <c r="C44" i="4"/>
  <c r="D34" i="4"/>
  <c r="C34" i="4"/>
  <c r="D33" i="4"/>
  <c r="C33" i="4"/>
  <c r="D32" i="4"/>
  <c r="C32" i="4"/>
  <c r="D27" i="4"/>
  <c r="C27" i="4"/>
  <c r="F96" i="4" l="1"/>
  <c r="E92" i="4"/>
  <c r="F97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<sst xmlns="http://schemas.openxmlformats.org/spreadsheetml/2006/main" count="405" uniqueCount="289">
  <si>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</si>
  <si>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</si>
  <si>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</si>
  <si>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</si>
  <si>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</si>
  <si>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</si>
  <si>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</si>
  <si>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</si>
  <si>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</si>
  <si>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</si>
  <si>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</si>
  <si>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</si>
  <si>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</si>
  <si>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</si>
  <si>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</si>
  <si>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</si>
  <si>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</si>
  <si>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</si>
  <si>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</si>
  <si>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</si>
  <si>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</si>
  <si>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</si>
  <si>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</si>
  <si>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</si>
  <si>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</si>
  <si>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</si>
  <si>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</si>
  <si>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</si>
  <si>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</si>
  <si>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</si>
  <si>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</si>
  <si>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</si>
  <si>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</si>
  <si>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</si>
  <si>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</si>
  <si>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</si>
  <si>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</si>
  <si>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</si>
  <si>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</si>
  <si>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</si>
  <si>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</si>
  <si>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</si>
  <si>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</si>
  <si>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</si>
  <si>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</si>
  <si>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</si>
  <si>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</si>
  <si>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</si>
  <si>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</si>
  <si>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</si>
  <si>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</si>
  <si>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</si>
  <si>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</si>
  <si>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</si>
  <si>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</si>
  <si>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</si>
  <si>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</si>
  <si>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</si>
  <si>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</si>
  <si>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</si>
  <si>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</si>
  <si>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</si>
  <si>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</si>
  <si>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</si>
  <si>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</si>
  <si>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</si>
  <si>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</si>
  <si>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</si>
  <si>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</si>
  <si>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</si>
  <si>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</si>
  <si>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</si>
  <si>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</si>
  <si>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</si>
  <si>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</si>
  <si>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</si>
  <si>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</si>
  <si>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</si>
  <si>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</si>
  <si>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</si>
  <si>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</si>
  <si>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</si>
  <si>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</si>
  <si>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</si>
  <si>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</si>
  <si>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</si>
  <si>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</si>
  <si>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</si>
  <si>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</si>
  <si>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</si>
  <si>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</si>
  <si>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</si>
  <si>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</si>
  <si>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</si>
  <si>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</si>
  <si>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</si>
  <si>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</si>
  <si>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</si>
  <si>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</si>
  <si>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</si>
  <si>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</si>
  <si>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</si>
  <si>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</si>
  <si>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</si>
  <si>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</si>
  <si>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</si>
  <si>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</si>
  <si>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</si>
  <si>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</si>
  <si>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</si>
  <si>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</si>
  <si>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</si>
  <si>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</si>
  <si>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</si>
  <si>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</si>
  <si>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</si>
  <si>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</si>
  <si>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</si>
  <si>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</si>
  <si>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</si>
  <si>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</si>
  <si>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</si>
  <si>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</si>
  <si>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</si>
  <si>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</si>
  <si>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</si>
  <si>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</si>
  <si>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</si>
  <si>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</si>
  <si>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</si>
  <si>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</si>
  <si>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</si>
  <si>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</si>
  <si>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</si>
  <si>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</si>
  <si>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</si>
  <si>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</si>
  <si>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</si>
  <si>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</si>
  <si>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</si>
  <si>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</si>
  <si>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</si>
  <si>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</si>
  <si>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</si>
  <si>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</si>
  <si>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</si>
  <si>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</si>
  <si>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</si>
  <si>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</si>
  <si>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</si>
  <si>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</si>
  <si>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</si>
  <si>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</si>
  <si>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</si>
  <si>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</si>
  <si>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</si>
  <si>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</si>
  <si>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</si>
  <si>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</si>
  <si>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</si>
  <si>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</si>
  <si>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</si>
  <si>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</si>
  <si>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</si>
  <si>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</si>
  <si>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</si>
  <si>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</si>
  <si>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</si>
  <si>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</si>
  <si>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</si>
  <si>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</si>
  <si>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</si>
  <si>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</si>
  <si>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</si>
  <si>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</si>
  <si>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</si>
  <si>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</si>
  <si>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</si>
  <si>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</si>
  <si>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</si>
  <si>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</si>
  <si>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</si>
  <si>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</si>
  <si>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</si>
  <si>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</si>
  <si>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</si>
  <si>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</si>
  <si>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</si>
  <si>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</si>
  <si>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</si>
  <si>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</si>
  <si>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</si>
  <si>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</si>
  <si>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</si>
  <si>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</si>
  <si>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</si>
  <si>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</si>
  <si>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</si>
  <si>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</si>
  <si>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</si>
  <si>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</si>
  <si>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</si>
  <si>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</si>
  <si>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</si>
  <si>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</si>
  <si>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</si>
  <si>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</si>
  <si>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</si>
  <si>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</si>
  <si>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</si>
  <si>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</si>
  <si>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</si>
  <si>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</si>
  <si>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</si>
  <si>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</si>
  <si>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</si>
  <si>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</si>
  <si>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</si>
  <si>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</si>
  <si>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</si>
  <si>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</si>
  <si>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</si>
  <si>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</si>
  <si>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</si>
  <si>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</si>
  <si>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</si>
  <si>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</si>
  <si>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</si>
  <si>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</si>
  <si>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</si>
  <si>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</si>
  <si>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</si>
  <si>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</si>
  <si>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</si>
  <si>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</si>
  <si>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</si>
  <si>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</si>
  <si>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</si>
  <si>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</si>
  <si>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</si>
  <si>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</si>
  <si>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</si>
  <si>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</si>
  <si>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</si>
  <si>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</si>
  <si>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</si>
  <si>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</si>
  <si>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</si>
  <si>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</si>
  <si>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</si>
  <si>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</si>
  <si>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</si>
  <si>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</si>
  <si>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</si>
  <si>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</si>
  <si>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</si>
  <si>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</si>
  <si>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</si>
  <si>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</si>
  <si>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</si>
  <si>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</si>
  <si>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</si>
  <si>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</si>
  <si>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</si>
  <si>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</si>
  <si>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</si>
  <si>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</si>
  <si>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</si>
  <si>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</si>
  <si>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</si>
  <si>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</si>
  <si>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</si>
  <si>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</si>
  <si>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</si>
  <si>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</si>
  <si>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</si>
  <si>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</si>
  <si>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</si>
  <si>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</si>
  <si>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</si>
  <si>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</si>
  <si>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</si>
  <si>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</si>
  <si>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</si>
  <si>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1112.HK</t>
  </si>
  <si>
    <t>H&amp;H INTL</t>
  </si>
  <si>
    <t xml:space="preserve">Superior Cycl. </t>
  </si>
  <si>
    <t>C0002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</si>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</sst>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45637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286</v>
      </c>
    </row>
    <row r="9" spans="1:5" x14ac:dyDescent="0.35">
      <c r="B9" s="39" t="s">
        <v>189</v>
      </c>
      <c r="C9" s="119" t="s">
        <v>287</v>
      </c>
    </row>
    <row r="10" spans="1:5" x14ac:dyDescent="0.35">
      <c r="B10" s="39" t="s">
        <v>190</v>
      </c>
      <c r="C10" s="70">
        <v>645561354</v>
      </c>
    </row>
    <row r="11" spans="1:5" x14ac:dyDescent="0.35">
      <c r="B11" s="39" t="s">
        <v>191</v>
      </c>
      <c r="C11" s="69" t="s">
        <v>288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13926470</v>
      </c>
      <c r="D25" s="77">
        <v>12775914</v>
      </c>
      <c r="E25" s="77">
        <v>11547825</v>
      </c>
      <c r="F25" s="77">
        <v>11194679</v>
      </c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5632214</v>
      </c>
      <c r="D26" s="78">
        <v>5072426</v>
      </c>
      <c r="E26" s="78">
        <v>4299843</v>
      </c>
      <c r="F26" s="78">
        <v>4007688</v>
      </c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f>6448133+336404</f>
        <v>6784537</v>
      </c>
      <c r="D27" s="78">
        <f>5962916+382167</f>
        <v>6345083</v>
      </c>
      <c r="E27" s="78">
        <v>5667589</v>
      </c>
      <c r="F27" s="78">
        <v>5283088</v>
      </c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773489</v>
      </c>
      <c r="D29" s="78">
        <v>525659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f>2337135-1652990</f>
        <v>684145</v>
      </c>
      <c r="D32" s="78">
        <f>2143040-1941920</f>
        <v>201120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f>69713+36500+196040</f>
        <v>302253</v>
      </c>
      <c r="D33" s="78">
        <f>72431+38576+200276</f>
        <v>311283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f>58067+32908</f>
        <v>90975</v>
      </c>
      <c r="D34" s="78">
        <f>44890+51361</f>
        <v>96251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0.18+0.44</f>
        <v>0.62</v>
      </c>
      <c r="D44" s="81">
        <f>0.38+0.25</f>
        <v>0.63</v>
      </c>
      <c r="E44" s="81">
        <f>0.17+0.37</f>
        <v>0.54</v>
      </c>
      <c r="F44" s="81">
        <f>0.39+0.63</f>
        <v>1.02</v>
      </c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8.0451872548924871E-2</v>
      </c>
      <c r="D45" s="82">
        <f>IF(D44="","",D44*Exchange_Rate/Dashboard!$G$3)</f>
        <v>8.1749483396488187E-2</v>
      </c>
      <c r="E45" s="82">
        <f>IF(E44="","",E44*Exchange_Rate/Dashboard!$G$3)</f>
        <v>7.0070985768418442E-2</v>
      </c>
      <c r="F45" s="82">
        <f>IF(F44="","",F44*Exchange_Rate/Dashboard!$G$3)</f>
        <v>0.13235630645145705</v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13926470</v>
      </c>
      <c r="D91" s="98"/>
      <c r="E91" s="99">
        <f>C91</f>
        <v>13926470</v>
      </c>
      <c r="F91" s="99">
        <f>C91</f>
        <v>13926470</v>
      </c>
    </row>
    <row r="92" spans="2:8" x14ac:dyDescent="0.35">
      <c r="B92" s="100" t="s">
        <v>97</v>
      </c>
      <c r="C92" s="97">
        <f>C26</f>
        <v>5632214</v>
      </c>
      <c r="D92" s="101">
        <f>C92/C91</f>
        <v>0.4044250983917676</v>
      </c>
      <c r="E92" s="102">
        <f>E91*D92</f>
        <v>5632214</v>
      </c>
      <c r="F92" s="102">
        <f>F91*D92</f>
        <v>5632214</v>
      </c>
    </row>
    <row r="93" spans="2:8" x14ac:dyDescent="0.35">
      <c r="B93" s="100" t="s">
        <v>216</v>
      </c>
      <c r="C93" s="97">
        <f>C27+C28</f>
        <v>6784537</v>
      </c>
      <c r="D93" s="101">
        <f>C93/C91</f>
        <v>0.48716846408314524</v>
      </c>
      <c r="E93" s="102">
        <f>E91*D93</f>
        <v>6784537</v>
      </c>
      <c r="F93" s="102">
        <f>F91*D93</f>
        <v>6784537</v>
      </c>
    </row>
    <row r="94" spans="2:8" x14ac:dyDescent="0.35">
      <c r="B94" s="100" t="s">
        <v>222</v>
      </c>
      <c r="C94" s="97">
        <f>C29</f>
        <v>773489</v>
      </c>
      <c r="D94" s="101">
        <f>C94/C91</f>
        <v>5.5540923148507844E-2</v>
      </c>
      <c r="E94" s="103"/>
      <c r="F94" s="102">
        <f>F91*D94</f>
        <v>773489</v>
      </c>
    </row>
    <row r="95" spans="2:8" x14ac:dyDescent="0.35">
      <c r="B95" s="18" t="s">
        <v>215</v>
      </c>
      <c r="C95" s="97">
        <f>ABS(MAX(C34,0)-C33)</f>
        <v>211278</v>
      </c>
      <c r="D95" s="101">
        <f>C95/C91</f>
        <v>1.517096579391619E-2</v>
      </c>
      <c r="E95" s="102">
        <f>E91*D95</f>
        <v>211278</v>
      </c>
      <c r="F95" s="102">
        <f>F91*D95</f>
        <v>211278</v>
      </c>
    </row>
    <row r="96" spans="2:8" x14ac:dyDescent="0.35">
      <c r="B96" s="18" t="s">
        <v>101</v>
      </c>
      <c r="C96" s="97">
        <f>MAX(C32,0)</f>
        <v>684145</v>
      </c>
      <c r="D96" s="101">
        <f>C96/C91</f>
        <v>4.9125514218606725E-2</v>
      </c>
      <c r="E96" s="103"/>
      <c r="F96" s="102">
        <f>F91*0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0.62</v>
      </c>
      <c r="D98" s="105"/>
      <c r="E98" s="106">
        <f>F98</f>
        <v>0.62</v>
      </c>
      <c r="F98" s="106">
        <f>C98</f>
        <v>0.62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1112.HK : H&amp;H INTL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1112.HK</v>
      </c>
      <c r="D3" s="313"/>
      <c r="E3" s="3"/>
      <c r="F3" s="9" t="s">
        <v>1</v>
      </c>
      <c r="G3" s="10">
        <v>8.18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H&amp;H INTL</v>
      </c>
      <c r="D4" s="315"/>
      <c r="E4" s="3"/>
      <c r="F4" s="9" t="s">
        <v>2</v>
      </c>
      <c r="G4" s="318">
        <f>Inputs!C10</f>
        <v>645561354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45637</v>
      </c>
      <c r="D5" s="317"/>
      <c r="E5" s="16"/>
      <c r="F5" s="12" t="s">
        <v>91</v>
      </c>
      <c r="G5" s="321">
        <f>G3*G4/1000000</f>
        <v>5280.6918757200001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C0002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0.10840643752508712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5.5540923148507844E-2</v>
      </c>
      <c r="F24" s="39" t="s">
        <v>224</v>
      </c>
      <c r="G24" s="43">
        <f>G3/(Fin_Analysis!H86*G7)</f>
        <v>12.636075098220571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1.0165959033206846</v>
      </c>
    </row>
    <row r="26" spans="1:8" ht="15.75" customHeight="1" x14ac:dyDescent="0.35">
      <c r="B26" s="45" t="s">
        <v>241</v>
      </c>
      <c r="C26" s="44">
        <f>Fin_Analysis!I80+Fin_Analysis!I82</f>
        <v>1.517096579391619E-2</v>
      </c>
      <c r="F26" s="46" t="s">
        <v>166</v>
      </c>
      <c r="G26" s="47">
        <f>Fin_Analysis!H88*Exchange_Rate/G3</f>
        <v>8.0451872548924871E-2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7.1109260696384231</v>
      </c>
      <c r="D29" s="54">
        <f>G29*(1+G20)</f>
        <v>12.368055275334815</v>
      </c>
      <c r="E29" s="3"/>
      <c r="F29" s="55">
        <f>IF(Fin_Analysis!C108="Profit",Fin_Analysis!F100,IF(Fin_Analysis!C108="Dividend",Fin_Analysis!F103,Fin_Analysis!F106))</f>
        <v>8.3657953760452042</v>
      </c>
      <c r="G29" s="320">
        <f>IF(Fin_Analysis!C108="Profit",Fin_Analysis!I100,IF(Fin_Analysis!C108="Dividend",Fin_Analysis!I103,Fin_Analysis!I106))</f>
        <v>10.754830674204188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1509719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13926470</v>
      </c>
      <c r="D6" s="142">
        <f>IF(Inputs!D25="","",Inputs!D25)</f>
        <v>12775914</v>
      </c>
      <c r="E6" s="142">
        <f>IF(Inputs!E25="","",Inputs!E25)</f>
        <v>11547825</v>
      </c>
      <c r="F6" s="142">
        <f>IF(Inputs!F25="","",Inputs!F25)</f>
        <v>11194679</v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9.0056648784580196E-2</v>
      </c>
      <c r="D7" s="143">
        <f t="shared" si="1"/>
        <v>0.10634807853426942</v>
      </c>
      <c r="E7" s="143">
        <f t="shared" si="1"/>
        <v>3.1545879966723422E-2</v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5632214</v>
      </c>
      <c r="D8" s="144">
        <f>IF(Inputs!D26="","",Inputs!D26)</f>
        <v>5072426</v>
      </c>
      <c r="E8" s="144">
        <f>IF(Inputs!E26="","",Inputs!E26)</f>
        <v>4299843</v>
      </c>
      <c r="F8" s="144">
        <f>IF(Inputs!F26="","",Inputs!F26)</f>
        <v>4007688</v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8294256</v>
      </c>
      <c r="D9" s="273">
        <f t="shared" si="2"/>
        <v>7703488</v>
      </c>
      <c r="E9" s="273">
        <f t="shared" si="2"/>
        <v>7247982</v>
      </c>
      <c r="F9" s="273">
        <f t="shared" si="2"/>
        <v>7186991</v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6784537</v>
      </c>
      <c r="D10" s="144">
        <f>IF(Inputs!D27="","",Inputs!D27)</f>
        <v>6345083</v>
      </c>
      <c r="E10" s="144">
        <f>IF(Inputs!E27="","",Inputs!E27)</f>
        <v>5667589</v>
      </c>
      <c r="F10" s="144">
        <f>IF(Inputs!F27="","",Inputs!F27)</f>
        <v>5283088</v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 t="str">
        <f>IF(Inputs!C31="","",MAX(Inputs!C31,0)/(1-Fin_Analysis!$I$84))</f>
        <v/>
      </c>
      <c r="D12" s="144" t="str">
        <f>IF(Inputs!D31="","",MAX(Inputs!D31,0)/(1-Fin_Analysis!$I$84))</f>
        <v/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0.10840643752508712</v>
      </c>
      <c r="D13" s="292">
        <f t="shared" si="3"/>
        <v>0.10632546524655692</v>
      </c>
      <c r="E13" s="292">
        <f t="shared" si="3"/>
        <v>0.13685633441795317</v>
      </c>
      <c r="F13" s="292">
        <f t="shared" si="3"/>
        <v>0.17007213873662658</v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1509719</v>
      </c>
      <c r="D14" s="294">
        <f t="shared" ref="D14:M14" si="4">IF(D6="","",D9-D10-MAX(D11,0)-MAX(D12,0))</f>
        <v>1358405</v>
      </c>
      <c r="E14" s="294">
        <f t="shared" si="4"/>
        <v>1580393</v>
      </c>
      <c r="F14" s="294">
        <f t="shared" si="4"/>
        <v>1903903</v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0.11139093274833352</v>
      </c>
      <c r="D15" s="296">
        <f t="shared" ref="D15:M15" si="5">IF(E14="","",IF(ABS(D14+E14)=ABS(D14)+ABS(E14),IF(D14&lt;0,-1,1)*(D14-E14)/E14,"Turn"))</f>
        <v>-0.14046379603048104</v>
      </c>
      <c r="E15" s="296">
        <f t="shared" si="5"/>
        <v>-0.16991937089231962</v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 t="str">
        <f t="shared" ref="D16:M16" si="6">IF(D17="","",D17-D14)</f>
        <v/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 t="str">
        <f>IF(Inputs!D30="","",Inputs!D30)</f>
        <v/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684145</v>
      </c>
      <c r="D18" s="144">
        <f>IF(Inputs!D32="","",Inputs!D32)</f>
        <v>201120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773489</v>
      </c>
      <c r="D19" s="144">
        <f>IF(Inputs!D29="","",Inputs!D29)</f>
        <v>525659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2.170348982908088E-2</v>
      </c>
      <c r="D20" s="227">
        <f t="shared" si="7"/>
        <v>2.4364832136471802E-2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302253</v>
      </c>
      <c r="D21" s="144">
        <f>IF(Inputs!D33="","",Inputs!D33)</f>
        <v>311283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6.5325240351646902E-3</v>
      </c>
      <c r="D22" s="227">
        <f t="shared" si="8"/>
        <v>7.5337858410756365E-3</v>
      </c>
      <c r="E22" s="227">
        <f t="shared" si="8"/>
        <v>0</v>
      </c>
      <c r="F22" s="227">
        <f t="shared" si="8"/>
        <v>0</v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90975</v>
      </c>
      <c r="D23" s="144">
        <f>IF(Inputs!D34="","",Inputs!D34)</f>
        <v>96251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-159193</v>
      </c>
      <c r="D24" s="309">
        <f t="shared" si="9"/>
        <v>416594</v>
      </c>
      <c r="E24" s="309">
        <f t="shared" si="9"/>
        <v>1580393</v>
      </c>
      <c r="F24" s="309">
        <f t="shared" si="9"/>
        <v>1903903</v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-8.5732242269577295E-3</v>
      </c>
      <c r="D25" s="143">
        <f t="shared" si="10"/>
        <v>2.445582366944549E-2</v>
      </c>
      <c r="E25" s="143">
        <f t="shared" si="10"/>
        <v>0.10264225081346487</v>
      </c>
      <c r="F25" s="143">
        <f t="shared" si="10"/>
        <v>0.12755410405246992</v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-119394.75</v>
      </c>
      <c r="D26" s="276">
        <f>IF(D6="","",D24*(1-Fin_Analysis!$I$84))</f>
        <v>312445.5</v>
      </c>
      <c r="E26" s="276">
        <f>IF(E6="","",E24*(1-Fin_Analysis!$I$84))</f>
        <v>1185294.75</v>
      </c>
      <c r="F26" s="276">
        <f>IF(F6="","",F24*(1-Fin_Analysis!$I$84))</f>
        <v>1427927.25</v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 t="str">
        <f t="shared" ref="C27:M27" si="11">IF(D26="","",IF(ABS(C26+D26)=ABS(C26)+ABS(D26),IF(C26&lt;0,-1,1)*(C26-D26)/D26,"Turn"))</f>
        <v>Turn</v>
      </c>
      <c r="D27" s="305">
        <f t="shared" si="11"/>
        <v>-0.73639847810006753</v>
      </c>
      <c r="E27" s="305">
        <f t="shared" si="11"/>
        <v>-0.16991937089231962</v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0.4044250983917676</v>
      </c>
      <c r="D42" s="150">
        <f t="shared" si="35"/>
        <v>0.39703038076179914</v>
      </c>
      <c r="E42" s="150">
        <f t="shared" si="35"/>
        <v>0.37235089724688414</v>
      </c>
      <c r="F42" s="150">
        <f t="shared" si="35"/>
        <v>0.35799936737801952</v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0.48716846408314524</v>
      </c>
      <c r="D43" s="146">
        <f t="shared" si="36"/>
        <v>0.49664415399164397</v>
      </c>
      <c r="E43" s="146">
        <f t="shared" si="36"/>
        <v>0.49079276833516267</v>
      </c>
      <c r="F43" s="146">
        <f t="shared" si="36"/>
        <v>0.47192849388535391</v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4.9125514218606725E-2</v>
      </c>
      <c r="D44" s="146">
        <f t="shared" si="37"/>
        <v>1.5742122246596213E-2</v>
      </c>
      <c r="E44" s="146">
        <f t="shared" si="37"/>
        <v>0</v>
      </c>
      <c r="F44" s="146">
        <f t="shared" si="37"/>
        <v>0</v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5.5540923148507844E-2</v>
      </c>
      <c r="D45" s="146">
        <f t="shared" si="38"/>
        <v>4.1144531811970558E-2</v>
      </c>
      <c r="E45" s="146">
        <f t="shared" si="38"/>
        <v>0</v>
      </c>
      <c r="F45" s="146">
        <f t="shared" si="38"/>
        <v>0</v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>
        <f t="shared" si="39"/>
        <v>0</v>
      </c>
      <c r="F46" s="146">
        <f t="shared" si="39"/>
        <v>0</v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1.517096579391619E-2</v>
      </c>
      <c r="D47" s="146">
        <f t="shared" si="40"/>
        <v>1.6831046295396165E-2</v>
      </c>
      <c r="E47" s="146">
        <f t="shared" si="40"/>
        <v>0</v>
      </c>
      <c r="F47" s="146">
        <f t="shared" si="40"/>
        <v>0</v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-1.1430965635943638E-2</v>
      </c>
      <c r="D48" s="281">
        <f t="shared" si="41"/>
        <v>3.2607764892593989E-2</v>
      </c>
      <c r="E48" s="281">
        <f t="shared" si="41"/>
        <v>0.13685633441795317</v>
      </c>
      <c r="F48" s="281">
        <f t="shared" si="41"/>
        <v>0.17007213873662658</v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e">
        <f t="shared" si="42"/>
        <v>#VALUE!</v>
      </c>
      <c r="F50" s="153" t="e">
        <f t="shared" si="42"/>
        <v>#VALUE!</v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>
        <f t="shared" ref="C53:M53" si="45">IF(D6="","",C18/(C6-D6))</f>
        <v>0.59462120922406214</v>
      </c>
      <c r="D53" s="146">
        <f t="shared" si="45"/>
        <v>0.16376663254861823</v>
      </c>
      <c r="E53" s="146" t="e">
        <f t="shared" si="45"/>
        <v>#VALUE!</v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-4.858812887501335</v>
      </c>
      <c r="D57" s="146">
        <f t="shared" si="48"/>
        <v>1.2618016582091918</v>
      </c>
      <c r="E57" s="146" t="str">
        <f t="shared" si="48"/>
        <v>-</v>
      </c>
      <c r="F57" s="146" t="str">
        <f t="shared" si="48"/>
        <v>-</v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e">
        <f t="shared" si="50"/>
        <v>#VALUE!</v>
      </c>
      <c r="F60" s="156" t="e">
        <f t="shared" si="50"/>
        <v>#VALUE!</v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e">
        <f t="shared" si="51"/>
        <v>#VALUE!</v>
      </c>
      <c r="F61" s="156" t="e">
        <f t="shared" si="51"/>
        <v>#VALUE!</v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13926470</v>
      </c>
      <c r="D74" s="98"/>
      <c r="E74" s="256">
        <f>Inputs!E91</f>
        <v>13926470</v>
      </c>
      <c r="F74" s="98"/>
      <c r="H74" s="256">
        <f>Inputs!F91</f>
        <v>13926470</v>
      </c>
      <c r="I74" s="98"/>
      <c r="K74" s="75"/>
    </row>
    <row r="75" spans="1:11" ht="15" customHeight="1" x14ac:dyDescent="0.35">
      <c r="B75" s="100" t="s">
        <v>97</v>
      </c>
      <c r="C75" s="97">
        <f>Data!C8</f>
        <v>5632214</v>
      </c>
      <c r="D75" s="101">
        <f>C75/$C$74</f>
        <v>0.4044250983917676</v>
      </c>
      <c r="E75" s="256">
        <f>Inputs!E92</f>
        <v>5632214</v>
      </c>
      <c r="F75" s="211">
        <f>E75/E74</f>
        <v>0.4044250983917676</v>
      </c>
      <c r="H75" s="256">
        <f>Inputs!F92</f>
        <v>5632214</v>
      </c>
      <c r="I75" s="211">
        <f>H75/$H$74</f>
        <v>0.4044250983917676</v>
      </c>
      <c r="K75" s="75"/>
    </row>
    <row r="76" spans="1:11" ht="15" customHeight="1" x14ac:dyDescent="0.35">
      <c r="B76" s="12" t="s">
        <v>87</v>
      </c>
      <c r="C76" s="145">
        <f>C74-C75</f>
        <v>8294256</v>
      </c>
      <c r="D76" s="212"/>
      <c r="E76" s="213">
        <f>E74-E75</f>
        <v>8294256</v>
      </c>
      <c r="F76" s="212"/>
      <c r="H76" s="213">
        <f>H74-H75</f>
        <v>8294256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6784537</v>
      </c>
      <c r="D77" s="101">
        <f>C77/$C$74</f>
        <v>0.48716846408314524</v>
      </c>
      <c r="E77" s="256">
        <f>Inputs!E93</f>
        <v>6784537</v>
      </c>
      <c r="F77" s="211">
        <f>E77/E74</f>
        <v>0.48716846408314524</v>
      </c>
      <c r="H77" s="256">
        <f>Inputs!F93</f>
        <v>6784537</v>
      </c>
      <c r="I77" s="211">
        <f>H77/$H$74</f>
        <v>0.48716846408314524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1509719</v>
      </c>
      <c r="D79" s="217">
        <f>C79/C74</f>
        <v>0.10840643752508712</v>
      </c>
      <c r="E79" s="218">
        <f>E76-E77-E78</f>
        <v>1509719</v>
      </c>
      <c r="F79" s="217">
        <f>E79/E74</f>
        <v>0.10840643752508712</v>
      </c>
      <c r="G79" s="219"/>
      <c r="H79" s="218">
        <f>H76-H77-H78</f>
        <v>1509719</v>
      </c>
      <c r="I79" s="217">
        <f>H79/H74</f>
        <v>0.10840643752508712</v>
      </c>
      <c r="K79" s="75"/>
    </row>
    <row r="80" spans="1:11" ht="15" customHeight="1" x14ac:dyDescent="0.35">
      <c r="B80" s="18" t="s">
        <v>101</v>
      </c>
      <c r="C80" s="97">
        <f>MAX(Data!C18,0)</f>
        <v>684145</v>
      </c>
      <c r="D80" s="101">
        <f>C80/$C$74</f>
        <v>4.9125514218606725E-2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773489</v>
      </c>
      <c r="D81" s="101">
        <f>C81/$C$74</f>
        <v>5.5540923148507844E-2</v>
      </c>
      <c r="E81" s="214">
        <f>E74*F81</f>
        <v>773489</v>
      </c>
      <c r="F81" s="211">
        <f>I81</f>
        <v>5.5540923148507844E-2</v>
      </c>
      <c r="H81" s="256">
        <f>Inputs!F94</f>
        <v>773489</v>
      </c>
      <c r="I81" s="211">
        <f>H81/$H$74</f>
        <v>5.5540923148507844E-2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211278</v>
      </c>
      <c r="D82" s="101">
        <f>C82/$C$74</f>
        <v>1.517096579391619E-2</v>
      </c>
      <c r="E82" s="256">
        <f>Inputs!E95</f>
        <v>211278</v>
      </c>
      <c r="F82" s="211">
        <f>E82/E74</f>
        <v>1.517096579391619E-2</v>
      </c>
      <c r="H82" s="256">
        <f>Inputs!F95</f>
        <v>211278</v>
      </c>
      <c r="I82" s="211">
        <f>H82/$H$74</f>
        <v>1.517096579391619E-2</v>
      </c>
      <c r="K82" s="75"/>
    </row>
    <row r="83" spans="1:11" ht="15" customHeight="1" thickBot="1" x14ac:dyDescent="0.4">
      <c r="B83" s="221" t="s">
        <v>113</v>
      </c>
      <c r="C83" s="222">
        <f>C79-C81-C82-C80</f>
        <v>-159193</v>
      </c>
      <c r="D83" s="223">
        <f>C83/$C$74</f>
        <v>-1.1430965635943638E-2</v>
      </c>
      <c r="E83" s="224">
        <f>E79-E81-E82-E80</f>
        <v>524952</v>
      </c>
      <c r="F83" s="223">
        <f>E83/E74</f>
        <v>3.7694548582663086E-2</v>
      </c>
      <c r="H83" s="224">
        <f>H79-H81-H82-H80</f>
        <v>524952</v>
      </c>
      <c r="I83" s="223">
        <f>H83/$H$74</f>
        <v>3.7694548582663086E-2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-119394.75</v>
      </c>
      <c r="D85" s="217">
        <f>C85/$C$74</f>
        <v>-8.5732242269577295E-3</v>
      </c>
      <c r="E85" s="229">
        <f>E83*(1-F84)</f>
        <v>393714</v>
      </c>
      <c r="F85" s="217">
        <f>E85/E74</f>
        <v>2.8270911436997316E-2</v>
      </c>
      <c r="G85" s="219"/>
      <c r="H85" s="229">
        <f>H83*(1-I84)</f>
        <v>393714</v>
      </c>
      <c r="I85" s="217">
        <f>H85/$H$74</f>
        <v>2.8270911436997316E-2</v>
      </c>
      <c r="K85" s="75"/>
    </row>
    <row r="86" spans="1:11" ht="15" customHeight="1" x14ac:dyDescent="0.35">
      <c r="B86" s="3" t="s">
        <v>143</v>
      </c>
      <c r="C86" s="230">
        <f>C85*Data!C4/Common_Shares</f>
        <v>-0.18494717699597613</v>
      </c>
      <c r="D86" s="98"/>
      <c r="E86" s="231">
        <f>E85*Data!C4/Common_Shares</f>
        <v>0.60987851512561264</v>
      </c>
      <c r="F86" s="98"/>
      <c r="H86" s="231">
        <f>H85*Data!C4/Common_Shares</f>
        <v>0.60987851512561264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-2.3998946309618907E-2</v>
      </c>
      <c r="D87" s="98"/>
      <c r="E87" s="233">
        <f>E86*Exchange_Rate/Dashboard!G3</f>
        <v>7.9138497692279569E-2</v>
      </c>
      <c r="F87" s="98"/>
      <c r="H87" s="233">
        <f>H86*Exchange_Rate/Dashboard!G3</f>
        <v>7.9138497692279569E-2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0.62</v>
      </c>
      <c r="D88" s="235">
        <f>C88/C86</f>
        <v>-3.3523085351742852</v>
      </c>
      <c r="E88" s="255">
        <f>Inputs!E98</f>
        <v>0.62</v>
      </c>
      <c r="F88" s="235">
        <f>E88/E86</f>
        <v>1.0165959033206846</v>
      </c>
      <c r="H88" s="255">
        <f>Inputs!F98</f>
        <v>0.62</v>
      </c>
      <c r="I88" s="235">
        <f>H88/H86</f>
        <v>1.0165959033206846</v>
      </c>
      <c r="K88" s="75"/>
    </row>
    <row r="89" spans="1:11" ht="15" customHeight="1" x14ac:dyDescent="0.35">
      <c r="B89" s="3" t="s">
        <v>193</v>
      </c>
      <c r="C89" s="232">
        <f>C88*Exchange_Rate/Dashboard!G3</f>
        <v>8.0451872548924871E-2</v>
      </c>
      <c r="D89" s="98"/>
      <c r="E89" s="232">
        <f>E88*Exchange_Rate/Dashboard!G3</f>
        <v>8.0451872548924871E-2</v>
      </c>
      <c r="F89" s="98"/>
      <c r="H89" s="232">
        <f>H88*Exchange_Rate/Dashboard!G3</f>
        <v>8.0451872548924871E-2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14.631828398924158</v>
      </c>
      <c r="H93" s="3" t="s">
        <v>182</v>
      </c>
      <c r="I93" s="237">
        <f>FV(H87,D93,0,-(H86/(C93-D94)))*Exchange_Rate</f>
        <v>14.631828398924158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14.947202432299338</v>
      </c>
      <c r="H94" s="3" t="s">
        <v>183</v>
      </c>
      <c r="I94" s="237">
        <f>FV(H89,D93,0,-(H88/(C93-D94)))*Exchange_Rate</f>
        <v>14.947202432299338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5400634.1902466808</v>
      </c>
      <c r="D97" s="244"/>
      <c r="E97" s="245">
        <f>PV(C94,D93,0,-F93)</f>
        <v>8.3657953760452042</v>
      </c>
      <c r="F97" s="244"/>
      <c r="H97" s="245">
        <f>PV(C94,D93,0,-I93)</f>
        <v>8.3657953760452042</v>
      </c>
      <c r="I97" s="245">
        <f>PV(C93,D93,0,-I93)</f>
        <v>10.754830674204188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7.1109260696384231</v>
      </c>
      <c r="E100" s="251">
        <f>MAX(E97+H98+E99,0)</f>
        <v>8.3657953760452042</v>
      </c>
      <c r="F100" s="251">
        <f>(E100+H100)/2</f>
        <v>8.3657953760452042</v>
      </c>
      <c r="H100" s="251">
        <f>MAX(H97+H98+H99,0)</f>
        <v>8.3657953760452042</v>
      </c>
      <c r="I100" s="251">
        <f>MAX(I97+H98+H99,0)</f>
        <v>10.754830674204188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7.2641947777227456</v>
      </c>
      <c r="E103" s="245">
        <f>PV(C94,D93,0,-F94)</f>
        <v>8.54611150320323</v>
      </c>
      <c r="F103" s="251">
        <f>(E103+H103)/2</f>
        <v>8.54611150320323</v>
      </c>
      <c r="H103" s="245">
        <f>PV(C94,D93,0,-I94)</f>
        <v>8.54611150320323</v>
      </c>
      <c r="I103" s="251">
        <f>PV(C93,D93,0,-I94)</f>
        <v>10.98664000353177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7.1875604236805843</v>
      </c>
      <c r="E106" s="245">
        <f>(E100+E103)/2</f>
        <v>8.4559534396242171</v>
      </c>
      <c r="F106" s="251">
        <f>(F100+F103)/2</f>
        <v>8.4559534396242171</v>
      </c>
      <c r="H106" s="245">
        <f>(H100+H103)/2</f>
        <v>8.4559534396242171</v>
      </c>
      <c r="I106" s="245">
        <f>(I100+I103)/2</f>
        <v>10.870735338867979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