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45335A0-D774-4881-B57C-E23BB14B91B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F96" i="4" l="1"/>
  <c r="F95" i="4"/>
  <c r="F97" i="4"/>
  <c r="D53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H82" i="3" l="1"/>
  <c r="E82" i="3"/>
  <c r="E83" i="3" s="1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<sst xmlns="http://schemas.openxmlformats.org/spreadsheetml/2006/main" count="405" uniqueCount="290">
  <si>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</si>
  <si>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</si>
  <si>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</si>
  <si>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</si>
  <si>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</si>
  <si>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</si>
  <si>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</si>
  <si>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</si>
  <si>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</si>
  <si>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</si>
  <si>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</si>
  <si>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</si>
  <si>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</si>
  <si>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</si>
  <si>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</si>
  <si>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</si>
  <si>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</si>
  <si>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</si>
  <si>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</si>
  <si>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</si>
  <si>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</si>
  <si>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</si>
  <si>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</si>
  <si>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</si>
  <si>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</si>
  <si>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</si>
  <si>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</si>
  <si>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</si>
  <si>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</si>
  <si>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</si>
  <si>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</si>
  <si>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</si>
  <si>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</si>
  <si>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</si>
  <si>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</si>
  <si>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</si>
  <si>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</si>
  <si>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</si>
  <si>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</si>
  <si>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</si>
  <si>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</si>
  <si>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</si>
  <si>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</si>
  <si>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</si>
  <si>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</si>
  <si>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</si>
  <si>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</si>
  <si>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</si>
  <si>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</si>
  <si>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</si>
  <si>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</si>
  <si>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</si>
  <si>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</si>
  <si>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</si>
  <si>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</si>
  <si>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</si>
  <si>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</si>
  <si>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</si>
  <si>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</si>
  <si>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</si>
  <si>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</si>
  <si>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</si>
  <si>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</si>
  <si>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</si>
  <si>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</si>
  <si>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</si>
  <si>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</si>
  <si>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</si>
  <si>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</si>
  <si>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</si>
  <si>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</si>
  <si>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</si>
  <si>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</si>
  <si>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</si>
  <si>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</si>
  <si>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</si>
  <si>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</si>
  <si>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</si>
  <si>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</si>
  <si>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</si>
  <si>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</si>
  <si>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</si>
  <si>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</si>
  <si>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</si>
  <si>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</si>
  <si>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</si>
  <si>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</si>
  <si>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</si>
  <si>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</si>
  <si>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</si>
  <si>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</si>
  <si>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</si>
  <si>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</si>
  <si>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</si>
  <si>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</si>
  <si>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</si>
  <si>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</si>
  <si>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</si>
  <si>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</si>
  <si>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</si>
  <si>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</si>
  <si>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</si>
  <si>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</si>
  <si>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</si>
  <si>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</si>
  <si>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</si>
  <si>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</si>
  <si>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</si>
  <si>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</si>
  <si>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</si>
  <si>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</si>
  <si>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</si>
  <si>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</si>
  <si>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</si>
  <si>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</si>
  <si>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</si>
  <si>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</si>
  <si>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</si>
  <si>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</si>
  <si>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</si>
  <si>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</si>
  <si>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</si>
  <si>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</si>
  <si>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</si>
  <si>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</si>
  <si>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</si>
  <si>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</si>
  <si>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</si>
  <si>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</si>
  <si>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</si>
  <si>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</si>
  <si>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</si>
  <si>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</si>
  <si>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</si>
  <si>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</si>
  <si>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</si>
  <si>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</si>
  <si>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</si>
  <si>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</si>
  <si>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</si>
  <si>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</si>
  <si>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</si>
  <si>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</si>
  <si>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</si>
  <si>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</si>
  <si>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</si>
  <si>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</si>
  <si>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</si>
  <si>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</si>
  <si>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</si>
  <si>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</si>
  <si>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</si>
  <si>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</si>
  <si>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</si>
  <si>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</si>
  <si>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</si>
  <si>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</si>
  <si>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</si>
  <si>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</si>
  <si>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</si>
  <si>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</si>
  <si>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</si>
  <si>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</si>
  <si>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</si>
  <si>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</si>
  <si>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</si>
  <si>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</si>
  <si>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</si>
  <si>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</si>
  <si>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</si>
  <si>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</si>
  <si>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</si>
  <si>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</si>
  <si>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</si>
  <si>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</si>
  <si>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</si>
  <si>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</si>
  <si>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</si>
  <si>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</si>
  <si>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</si>
  <si>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</si>
  <si>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</si>
  <si>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</si>
  <si>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</si>
  <si>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</si>
  <si>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</si>
  <si>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</si>
  <si>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</si>
  <si>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</si>
  <si>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</si>
  <si>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</si>
  <si>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</si>
  <si>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</si>
  <si>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</si>
  <si>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</si>
  <si>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</si>
  <si>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</si>
  <si>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</si>
  <si>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</si>
  <si>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</si>
  <si>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</si>
  <si>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</si>
  <si>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</si>
  <si>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</si>
  <si>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</si>
  <si>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</si>
  <si>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</si>
  <si>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</si>
  <si>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</si>
  <si>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</si>
  <si>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</si>
  <si>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</si>
  <si>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</si>
  <si>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</si>
  <si>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</si>
  <si>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</si>
  <si>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</si>
  <si>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</si>
  <si>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</si>
  <si>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</si>
  <si>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</si>
  <si>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</si>
  <si>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</si>
  <si>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</si>
  <si>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</si>
  <si>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</si>
  <si>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</si>
  <si>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</si>
  <si>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</si>
  <si>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</si>
  <si>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</si>
  <si>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</si>
  <si>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</si>
  <si>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</si>
  <si>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</si>
  <si>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</si>
  <si>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</si>
  <si>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</si>
  <si>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</si>
  <si>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</si>
  <si>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</si>
  <si>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</si>
  <si>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</si>
  <si>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</si>
  <si>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</si>
  <si>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</si>
  <si>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</si>
  <si>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</si>
  <si>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</si>
  <si>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</si>
  <si>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</si>
  <si>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</si>
  <si>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</si>
  <si>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</si>
  <si>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</si>
  <si>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</si>
  <si>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</si>
  <si>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</si>
  <si>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</si>
  <si>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</si>
  <si>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</si>
  <si>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</si>
  <si>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</si>
  <si>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</si>
  <si>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</si>
  <si>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</si>
  <si>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</si>
  <si>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</si>
  <si>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</si>
  <si>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</si>
  <si>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</si>
  <si>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</si>
  <si>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</si>
  <si>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</si>
  <si>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</si>
  <si>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</si>
  <si>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</si>
  <si>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</si>
  <si>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</si>
  <si>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</si>
  <si>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</si>
  <si>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1288.HK</t>
  </si>
  <si>
    <t>农业银行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</si>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</sst>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281</v>
      </c>
      <c r="D4" s="66"/>
    </row>
    <row r="5" spans="1:5" x14ac:dyDescent="0.35">
      <c r="B5" s="46" t="s">
        <v>168</v>
      </c>
      <c r="C5" s="67" t="s">
        <v>282</v>
      </c>
    </row>
    <row r="6" spans="1:5" x14ac:dyDescent="0.35">
      <c r="B6" s="46" t="s">
        <v>267</v>
      </c>
      <c r="C6" s="68">
        <v>45593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283</v>
      </c>
    </row>
    <row r="9" spans="1:5" x14ac:dyDescent="0.35">
      <c r="B9" s="39" t="s">
        <v>189</v>
      </c>
      <c r="C9" s="119" t="s">
        <v>284</v>
      </c>
    </row>
    <row r="10" spans="1:5" x14ac:dyDescent="0.35">
      <c r="B10" s="39" t="s">
        <v>190</v>
      </c>
      <c r="C10" s="70">
        <v>349983033873</v>
      </c>
    </row>
    <row r="11" spans="1:5" x14ac:dyDescent="0.35">
      <c r="B11" s="39" t="s">
        <v>191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220</v>
      </c>
      <c r="C15" s="117" t="s">
        <v>280</v>
      </c>
    </row>
    <row r="16" spans="1:5" x14ac:dyDescent="0.35">
      <c r="B16" s="74" t="s">
        <v>88</v>
      </c>
      <c r="C16" s="120">
        <v>0.25</v>
      </c>
      <c r="D16" s="75"/>
      <c r="E16" s="25" t="s">
        <v>250</v>
      </c>
    </row>
    <row r="17" spans="2:13" x14ac:dyDescent="0.35">
      <c r="B17" s="56" t="s">
        <v>196</v>
      </c>
      <c r="C17" s="121" t="s">
        <v>286</v>
      </c>
      <c r="D17" s="75"/>
    </row>
    <row r="18" spans="2:13" x14ac:dyDescent="0.35">
      <c r="B18" s="56" t="s">
        <v>209</v>
      </c>
      <c r="C18" s="121" t="s">
        <v>287</v>
      </c>
      <c r="D18" s="75"/>
    </row>
    <row r="19" spans="2:13" x14ac:dyDescent="0.35">
      <c r="B19" s="56" t="s">
        <v>210</v>
      </c>
      <c r="C19" s="121" t="s">
        <v>287</v>
      </c>
      <c r="D19" s="75"/>
    </row>
    <row r="20" spans="2:13" x14ac:dyDescent="0.35">
      <c r="B20" s="57" t="s">
        <v>199</v>
      </c>
      <c r="C20" s="121" t="s">
        <v>287</v>
      </c>
      <c r="D20" s="75"/>
    </row>
    <row r="21" spans="2:13" x14ac:dyDescent="0.35">
      <c r="B21" s="2" t="s">
        <v>202</v>
      </c>
      <c r="C21" s="121" t="s">
        <v>286</v>
      </c>
      <c r="D21" s="75"/>
    </row>
    <row r="22" spans="2:13" ht="69.75" x14ac:dyDescent="0.35">
      <c r="B22" s="59" t="s">
        <v>201</v>
      </c>
      <c r="C22" s="122" t="s">
        <v>288</v>
      </c>
      <c r="D22" s="75"/>
    </row>
    <row r="24" spans="2:13" x14ac:dyDescent="0.35">
      <c r="B24" s="76" t="s">
        <v>276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1318408</v>
      </c>
      <c r="D25" s="77">
        <v>1203982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150324</v>
      </c>
      <c r="D26" s="78">
        <v>159502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252305</v>
      </c>
      <c r="D27" s="78">
        <v>243571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221</v>
      </c>
      <c r="C29" s="78">
        <v>651948</v>
      </c>
      <c r="D29" s="78">
        <v>518581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274</v>
      </c>
      <c r="C30" s="302"/>
      <c r="D30" s="302">
        <v>-366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464</v>
      </c>
      <c r="D31" s="78">
        <v>-366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242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247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0.2309+0.1164</f>
        <v>0.3473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217</v>
      </c>
      <c r="C45" s="82">
        <f>IF(C44="","",C44*Exchange_Rate/Dashboard!$G$3)</f>
        <v>8.8402897443512166E-2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225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224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275</v>
      </c>
      <c r="C82" s="79"/>
    </row>
    <row r="83" spans="2:8" hidden="1" x14ac:dyDescent="0.35">
      <c r="B83" s="300" t="s">
        <v>245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246</v>
      </c>
      <c r="C86" s="79">
        <v>5</v>
      </c>
      <c r="D86" s="297"/>
    </row>
    <row r="87" spans="2:8" x14ac:dyDescent="0.35">
      <c r="B87" s="95" t="s">
        <v>216</v>
      </c>
      <c r="C87" s="107" t="s">
        <v>289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1318408</v>
      </c>
      <c r="D91" s="98"/>
      <c r="E91" s="99">
        <f>C91</f>
        <v>1318408</v>
      </c>
      <c r="F91" s="99">
        <f>C91</f>
        <v>1318408</v>
      </c>
    </row>
    <row r="92" spans="2:8" x14ac:dyDescent="0.35">
      <c r="B92" s="100" t="s">
        <v>97</v>
      </c>
      <c r="C92" s="97">
        <f>C26</f>
        <v>150324</v>
      </c>
      <c r="D92" s="101">
        <f>C92/C91</f>
        <v>0.11401933240696355</v>
      </c>
      <c r="E92" s="102">
        <f>E91*D92</f>
        <v>150324</v>
      </c>
      <c r="F92" s="102">
        <f>F91*D92</f>
        <v>150324</v>
      </c>
    </row>
    <row r="93" spans="2:8" x14ac:dyDescent="0.35">
      <c r="B93" s="100" t="s">
        <v>215</v>
      </c>
      <c r="C93" s="97">
        <f>C27+C28</f>
        <v>252305</v>
      </c>
      <c r="D93" s="101">
        <f>C93/C91</f>
        <v>0.19137095648691452</v>
      </c>
      <c r="E93" s="102">
        <f>E91*D93</f>
        <v>252305</v>
      </c>
      <c r="F93" s="102">
        <f>F91*D93</f>
        <v>252305</v>
      </c>
    </row>
    <row r="94" spans="2:8" x14ac:dyDescent="0.35">
      <c r="B94" s="100" t="s">
        <v>221</v>
      </c>
      <c r="C94" s="97">
        <f>C29</f>
        <v>651948</v>
      </c>
      <c r="D94" s="101">
        <f>C94/C91</f>
        <v>0.49449639261897682</v>
      </c>
      <c r="E94" s="103"/>
      <c r="F94" s="102">
        <f>F91*D94</f>
        <v>651948</v>
      </c>
    </row>
    <row r="95" spans="2:8" x14ac:dyDescent="0.35">
      <c r="B95" s="18" t="s">
        <v>214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618.66666666666663</v>
      </c>
      <c r="D97" s="101">
        <f>C97/C91</f>
        <v>4.6925281602255647E-4</v>
      </c>
      <c r="E97" s="103"/>
      <c r="F97" s="102">
        <f>F91*D97</f>
        <v>618.66666666666663</v>
      </c>
    </row>
    <row r="98" spans="2:6" x14ac:dyDescent="0.35">
      <c r="B98" s="8" t="s">
        <v>180</v>
      </c>
      <c r="C98" s="104">
        <f>C44</f>
        <v>0.3473</v>
      </c>
      <c r="D98" s="105"/>
      <c r="E98" s="106">
        <f>F98</f>
        <v>0.23089999999999999</v>
      </c>
      <c r="F98" s="106">
        <v>0.23089999999999999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1288.HK : 农业银行</v>
      </c>
      <c r="D2" s="3"/>
      <c r="E2" s="7"/>
      <c r="F2" s="7"/>
      <c r="G2" s="314" t="str">
        <f>IF(Inputs!D4="","",Inputs!D4)</f>
        <v/>
      </c>
      <c r="H2" s="314"/>
    </row>
    <row r="3" spans="1:10" ht="15.75" customHeight="1" x14ac:dyDescent="0.35">
      <c r="B3" s="9" t="s">
        <v>167</v>
      </c>
      <c r="C3" s="312" t="str">
        <f>Inputs!C4</f>
        <v>1288.HK</v>
      </c>
      <c r="D3" s="313"/>
      <c r="E3" s="3"/>
      <c r="F3" s="9" t="s">
        <v>1</v>
      </c>
      <c r="G3" s="10">
        <v>4.17</v>
      </c>
      <c r="H3" s="11" t="s">
        <v>255</v>
      </c>
    </row>
    <row r="4" spans="1:10" ht="15.75" customHeight="1" x14ac:dyDescent="0.35">
      <c r="B4" s="12" t="s">
        <v>168</v>
      </c>
      <c r="C4" s="314" t="str">
        <f>Inputs!C5</f>
        <v>农业银行</v>
      </c>
      <c r="D4" s="315"/>
      <c r="E4" s="3"/>
      <c r="F4" s="9" t="s">
        <v>2</v>
      </c>
      <c r="G4" s="318">
        <f>Inputs!C10</f>
        <v>349983033873</v>
      </c>
      <c r="H4" s="318"/>
      <c r="I4" s="14"/>
    </row>
    <row r="5" spans="1:10" ht="15.75" customHeight="1" x14ac:dyDescent="0.35">
      <c r="B5" s="9" t="s">
        <v>145</v>
      </c>
      <c r="C5" s="316">
        <f>Inputs!C6</f>
        <v>45593</v>
      </c>
      <c r="D5" s="317"/>
      <c r="E5" s="16"/>
      <c r="F5" s="12" t="s">
        <v>91</v>
      </c>
      <c r="G5" s="321">
        <f>G3*G4/1000000</f>
        <v>1459429.25125041</v>
      </c>
      <c r="H5" s="321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2" t="str">
        <f>Inputs!C11</f>
        <v>CNY</v>
      </c>
      <c r="H6" s="322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C0014</v>
      </c>
      <c r="E7" s="3"/>
      <c r="F7" s="12" t="s">
        <v>5</v>
      </c>
      <c r="G7" s="21">
        <v>1.061445673306783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256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218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219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241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232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237</v>
      </c>
      <c r="C21" s="33">
        <f>Data!C13</f>
        <v>0.6941404582900994</v>
      </c>
      <c r="F21" s="3"/>
      <c r="G21" s="34"/>
    </row>
    <row r="22" spans="1:8" ht="15.75" customHeight="1" x14ac:dyDescent="0.35">
      <c r="B22" s="35" t="s">
        <v>243</v>
      </c>
      <c r="C22" s="36" t="e">
        <f>Data!C50</f>
        <v>#DIV/0!</v>
      </c>
      <c r="F22" s="83" t="s">
        <v>257</v>
      </c>
      <c r="G22" s="285"/>
      <c r="H22" s="285"/>
    </row>
    <row r="23" spans="1:8" ht="15.75" customHeight="1" thickBot="1" x14ac:dyDescent="0.4">
      <c r="B23" s="37" t="s">
        <v>249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238</v>
      </c>
      <c r="C24" s="42">
        <f>Fin_Analysis!I81</f>
        <v>0.49449639261897682</v>
      </c>
      <c r="F24" s="39" t="s">
        <v>223</v>
      </c>
      <c r="G24" s="43">
        <f>G3/(Fin_Analysis!H86*G7)</f>
        <v>6.9649463731242518</v>
      </c>
    </row>
    <row r="25" spans="1:8" ht="15.75" customHeight="1" x14ac:dyDescent="0.35">
      <c r="B25" s="28" t="s">
        <v>239</v>
      </c>
      <c r="C25" s="44">
        <f>Fin_Analysis!I80</f>
        <v>0</v>
      </c>
      <c r="F25" s="39" t="s">
        <v>151</v>
      </c>
      <c r="G25" s="44">
        <f>Fin_Analysis!I88</f>
        <v>0.40935813555482176</v>
      </c>
    </row>
    <row r="26" spans="1:8" ht="15.75" customHeight="1" x14ac:dyDescent="0.35">
      <c r="B26" s="45" t="s">
        <v>240</v>
      </c>
      <c r="C26" s="44">
        <f>Fin_Analysis!I80+Fin_Analysis!I82</f>
        <v>0</v>
      </c>
      <c r="F26" s="46" t="s">
        <v>166</v>
      </c>
      <c r="G26" s="47">
        <f>Fin_Analysis!H88*Exchange_Rate/G3</f>
        <v>5.8774054188617787E-2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9" t="s">
        <v>222</v>
      </c>
      <c r="H28" s="319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2.4946589373731247</v>
      </c>
      <c r="D29" s="54">
        <f>G29*(1+G20)</f>
        <v>4.3389678543103862</v>
      </c>
      <c r="E29" s="3"/>
      <c r="F29" s="55">
        <f>IF(Fin_Analysis!C108="Profit",Fin_Analysis!F100,IF(Fin_Analysis!C108="Dividend",Fin_Analysis!F103,Fin_Analysis!F106))</f>
        <v>2.9348928674977937</v>
      </c>
      <c r="G29" s="320">
        <f>IF(Fin_Analysis!C108="Profit",Fin_Analysis!I100,IF(Fin_Analysis!C108="Dividend",Fin_Analysis!I103,Fin_Analysis!I106))</f>
        <v>3.7730155254872928</v>
      </c>
      <c r="H29" s="320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Strongly agree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256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agree</v>
      </c>
    </row>
    <row r="37" spans="1:4" ht="15.75" customHeight="1" x14ac:dyDescent="0.35">
      <c r="B37" s="56" t="s">
        <v>210</v>
      </c>
      <c r="C37" s="112" t="str">
        <f>Inputs!C19</f>
        <v>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agree</v>
      </c>
    </row>
    <row r="40" spans="1:4" ht="15.75" customHeight="1" x14ac:dyDescent="0.35">
      <c r="B40" s="2" t="s">
        <v>202</v>
      </c>
      <c r="C40" s="112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915160.33333333337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1318408</v>
      </c>
      <c r="D6" s="142">
        <f>IF(Inputs!D25="","",Inputs!D25)</f>
        <v>1203982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9.5039626838274938E-2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150324</v>
      </c>
      <c r="D8" s="144">
        <f>IF(Inputs!D26="","",Inputs!D26)</f>
        <v>159502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1168084</v>
      </c>
      <c r="D9" s="273">
        <f t="shared" si="2"/>
        <v>1044480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252305</v>
      </c>
      <c r="D10" s="144">
        <f>IF(Inputs!D27="","",Inputs!D27)</f>
        <v>243571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618.66666666666663</v>
      </c>
      <c r="D12" s="144">
        <f>IF(Inputs!D31="","",MAX(Inputs!D31,0)/(1-Fin_Analysis!$I$84))</f>
        <v>0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0.6941404582900994</v>
      </c>
      <c r="D13" s="292">
        <f t="shared" si="3"/>
        <v>0.6652167557322286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915160.33333333337</v>
      </c>
      <c r="D14" s="294">
        <f t="shared" ref="D14:M14" si="4">IF(D6="","",D9-D10-MAX(D11,0)-MAX(D12,0))</f>
        <v>800909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0.14265207824276338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277</v>
      </c>
      <c r="C16" s="147" t="str">
        <f>IF(C17="","",C17-C14)</f>
        <v/>
      </c>
      <c r="D16" s="147">
        <f t="shared" ref="D16:M16" si="6">IF(D17="","",D17-D14)</f>
        <v>-801275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274</v>
      </c>
      <c r="C17" s="307" t="str">
        <f>IF(Inputs!C30="","",Inputs!C30)</f>
        <v/>
      </c>
      <c r="D17" s="307">
        <f>IF(Inputs!D30="","",Inputs!D30)</f>
        <v>-366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221</v>
      </c>
      <c r="C19" s="144">
        <f>IF(Inputs!C29="","",Inputs!C29)</f>
        <v>651948</v>
      </c>
      <c r="D19" s="144">
        <f>IF(Inputs!D29="","",Inputs!D29)</f>
        <v>518581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278</v>
      </c>
      <c r="C24" s="309">
        <f t="shared" ref="C24:M24" si="9">IF(C6="","",C14-MAX(C18,0)-MAX(C19,0)-ABS(MAX(C23,0)-MAX(C21,0)))</f>
        <v>263212.33333333337</v>
      </c>
      <c r="D24" s="309">
        <f t="shared" si="9"/>
        <v>282328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0.14973304925334194</v>
      </c>
      <c r="D25" s="143">
        <f t="shared" si="10"/>
        <v>0.17587140007076518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279</v>
      </c>
      <c r="C26" s="275">
        <f>IF(C6="","",C24*(1-Fin_Analysis!$I$84))</f>
        <v>197409.25000000003</v>
      </c>
      <c r="D26" s="276">
        <f>IF(D6="","",D24*(1-Fin_Analysis!$I$84))</f>
        <v>211746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-6.7707300255966912E-2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242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227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0.11401933240696355</v>
      </c>
      <c r="D42" s="150">
        <f t="shared" si="35"/>
        <v>0.13247872476498818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0.19137095648691452</v>
      </c>
      <c r="D43" s="146">
        <f t="shared" si="36"/>
        <v>0.20230451950278328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0.49449639261897682</v>
      </c>
      <c r="D45" s="146">
        <f t="shared" si="38"/>
        <v>0.43072155563787501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4.6925281602255647E-4</v>
      </c>
      <c r="D46" s="146">
        <f t="shared" si="39"/>
        <v>0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0.19964406567112258</v>
      </c>
      <c r="D48" s="281">
        <f t="shared" si="41"/>
        <v>0.23449520009435357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228</v>
      </c>
      <c r="C49" s="151" t="s">
        <v>244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234</v>
      </c>
      <c r="C50" s="153" t="e">
        <f t="shared" ref="C50:M50" si="42">IF(C6="","",C6/C29)</f>
        <v>#DIV/0!</v>
      </c>
      <c r="D50" s="153" t="e">
        <f t="shared" si="42"/>
        <v>#VALUE!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235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236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226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229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230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2.4768900140190997</v>
      </c>
      <c r="D57" s="146">
        <f t="shared" si="48"/>
        <v>1.8368032926241817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248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231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232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233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260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259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272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0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258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17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18">
        <f>Inputs!C84</f>
        <v>0</v>
      </c>
      <c r="E57" s="317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18">
        <f>Inputs!C85</f>
        <v>0</v>
      </c>
      <c r="E58" s="317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251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252</v>
      </c>
      <c r="I61" s="203">
        <f>C99*Data!$C$4/Common_Shares</f>
        <v>0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273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253</v>
      </c>
      <c r="I63" s="207">
        <f>IF(I61&gt;0,FV(I62,D93,0,-I61),I61)</f>
        <v>0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254</v>
      </c>
      <c r="I64" s="207">
        <f>IF(I61&gt;0,PV(C94,D93,0,-I63),I61)</f>
        <v>0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1318408</v>
      </c>
      <c r="D74" s="98"/>
      <c r="E74" s="256">
        <f>Inputs!E91</f>
        <v>1318408</v>
      </c>
      <c r="F74" s="98"/>
      <c r="H74" s="256">
        <f>Inputs!F91</f>
        <v>1318408</v>
      </c>
      <c r="I74" s="98"/>
      <c r="K74" s="75"/>
    </row>
    <row r="75" spans="1:11" ht="15" customHeight="1" x14ac:dyDescent="0.35">
      <c r="B75" s="100" t="s">
        <v>97</v>
      </c>
      <c r="C75" s="97">
        <f>Data!C8</f>
        <v>150324</v>
      </c>
      <c r="D75" s="101">
        <f>C75/$C$74</f>
        <v>0.11401933240696355</v>
      </c>
      <c r="E75" s="256">
        <f>Inputs!E92</f>
        <v>150324</v>
      </c>
      <c r="F75" s="211">
        <f>E75/E74</f>
        <v>0.11401933240696355</v>
      </c>
      <c r="H75" s="256">
        <f>Inputs!F92</f>
        <v>150324</v>
      </c>
      <c r="I75" s="211">
        <f>H75/$H$74</f>
        <v>0.11401933240696355</v>
      </c>
      <c r="K75" s="75"/>
    </row>
    <row r="76" spans="1:11" ht="15" customHeight="1" x14ac:dyDescent="0.35">
      <c r="B76" s="12" t="s">
        <v>87</v>
      </c>
      <c r="C76" s="145">
        <f>C74-C75</f>
        <v>1168084</v>
      </c>
      <c r="D76" s="212"/>
      <c r="E76" s="213">
        <f>E74-E75</f>
        <v>1168084</v>
      </c>
      <c r="F76" s="212"/>
      <c r="H76" s="213">
        <f>H74-H75</f>
        <v>1168084</v>
      </c>
      <c r="I76" s="212"/>
      <c r="K76" s="75"/>
    </row>
    <row r="77" spans="1:11" ht="15" customHeight="1" x14ac:dyDescent="0.35">
      <c r="B77" s="100" t="s">
        <v>215</v>
      </c>
      <c r="C77" s="97">
        <f>Data!C10+MAX(Data!C11,0)</f>
        <v>252305</v>
      </c>
      <c r="D77" s="101">
        <f>C77/$C$74</f>
        <v>0.19137095648691452</v>
      </c>
      <c r="E77" s="256">
        <f>Inputs!E93</f>
        <v>252305</v>
      </c>
      <c r="F77" s="211">
        <f>E77/E74</f>
        <v>0.19137095648691452</v>
      </c>
      <c r="H77" s="256">
        <f>Inputs!F93</f>
        <v>252305</v>
      </c>
      <c r="I77" s="211">
        <f>H77/$H$74</f>
        <v>0.19137095648691452</v>
      </c>
      <c r="K77" s="75"/>
    </row>
    <row r="78" spans="1:11" ht="15" customHeight="1" x14ac:dyDescent="0.35">
      <c r="B78" s="93" t="s">
        <v>150</v>
      </c>
      <c r="C78" s="97">
        <f>MAX(Data!C12,0)</f>
        <v>618.66666666666663</v>
      </c>
      <c r="D78" s="101">
        <f>C78/$C$74</f>
        <v>4.6925281602255647E-4</v>
      </c>
      <c r="E78" s="214">
        <f>E74*F78</f>
        <v>618.66666666666663</v>
      </c>
      <c r="F78" s="211">
        <f>I78</f>
        <v>4.6925281602255647E-4</v>
      </c>
      <c r="H78" s="256">
        <f>Inputs!F97</f>
        <v>618.66666666666663</v>
      </c>
      <c r="I78" s="211">
        <f>H78/$H$74</f>
        <v>4.6925281602255647E-4</v>
      </c>
      <c r="K78" s="75"/>
    </row>
    <row r="79" spans="1:11" ht="15" customHeight="1" x14ac:dyDescent="0.35">
      <c r="B79" s="215" t="s">
        <v>203</v>
      </c>
      <c r="C79" s="216">
        <f>C76-C77-C78</f>
        <v>915160.33333333337</v>
      </c>
      <c r="D79" s="217">
        <f>C79/C74</f>
        <v>0.6941404582900994</v>
      </c>
      <c r="E79" s="218">
        <f>E76-E77-E78</f>
        <v>915160.33333333337</v>
      </c>
      <c r="F79" s="217">
        <f>E79/E74</f>
        <v>0.6941404582900994</v>
      </c>
      <c r="G79" s="219"/>
      <c r="H79" s="218">
        <f>H76-H77-H78</f>
        <v>915160.33333333337</v>
      </c>
      <c r="I79" s="217">
        <f>H79/H74</f>
        <v>0.6941404582900994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221</v>
      </c>
      <c r="C81" s="97">
        <f>MAX(Data!C19,0)</f>
        <v>651948</v>
      </c>
      <c r="D81" s="101">
        <f>C81/$C$74</f>
        <v>0.49449639261897682</v>
      </c>
      <c r="E81" s="214">
        <f>E74*F81</f>
        <v>651948</v>
      </c>
      <c r="F81" s="211">
        <f>I81</f>
        <v>0.49449639261897682</v>
      </c>
      <c r="H81" s="256">
        <f>Inputs!F94</f>
        <v>651948</v>
      </c>
      <c r="I81" s="211">
        <f>H81/$H$74</f>
        <v>0.49449639261897682</v>
      </c>
      <c r="K81" s="75"/>
    </row>
    <row r="82" spans="1:11" ht="15" customHeight="1" x14ac:dyDescent="0.35">
      <c r="B82" s="18" t="s">
        <v>214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263212.33333333337</v>
      </c>
      <c r="D83" s="223">
        <f>C83/$C$74</f>
        <v>0.19964406567112258</v>
      </c>
      <c r="E83" s="224">
        <f>E79-E81-E82-E80</f>
        <v>263212.33333333337</v>
      </c>
      <c r="F83" s="223">
        <f>E83/E74</f>
        <v>0.19964406567112258</v>
      </c>
      <c r="H83" s="224">
        <f>H79-H81-H82-H80</f>
        <v>263212.33333333337</v>
      </c>
      <c r="I83" s="223">
        <f>H83/$H$74</f>
        <v>0.19964406567112258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197409.25000000003</v>
      </c>
      <c r="D85" s="217">
        <f>C85/$C$74</f>
        <v>0.14973304925334194</v>
      </c>
      <c r="E85" s="229">
        <f>E83*(1-F84)</f>
        <v>197409.25000000003</v>
      </c>
      <c r="F85" s="217">
        <f>E85/E74</f>
        <v>0.14973304925334194</v>
      </c>
      <c r="G85" s="219"/>
      <c r="H85" s="229">
        <f>H83*(1-I84)</f>
        <v>197409.25000000003</v>
      </c>
      <c r="I85" s="217">
        <f>H85/$H$74</f>
        <v>0.14973304925334194</v>
      </c>
      <c r="K85" s="75"/>
    </row>
    <row r="86" spans="1:11" ht="15" customHeight="1" x14ac:dyDescent="0.35">
      <c r="B86" s="3" t="s">
        <v>143</v>
      </c>
      <c r="C86" s="230">
        <f>C85*Data!C4/Common_Shares</f>
        <v>0.5640537708797474</v>
      </c>
      <c r="D86" s="98"/>
      <c r="E86" s="231">
        <f>E85*Data!C4/Common_Shares</f>
        <v>0.5640537708797474</v>
      </c>
      <c r="F86" s="98"/>
      <c r="H86" s="231">
        <f>H85*Data!C4/Common_Shares</f>
        <v>0.5640537708797474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0.14357612340831738</v>
      </c>
      <c r="D87" s="98"/>
      <c r="E87" s="233">
        <f>E86*Exchange_Rate/Dashboard!G3</f>
        <v>0.14357612340831738</v>
      </c>
      <c r="F87" s="98"/>
      <c r="H87" s="233">
        <f>H86*Exchange_Rate/Dashboard!G3</f>
        <v>0.14357612340831738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0.3473</v>
      </c>
      <c r="D88" s="235">
        <f>C88/C86</f>
        <v>0.61572143992286532</v>
      </c>
      <c r="E88" s="255">
        <f>Inputs!E98</f>
        <v>0.23089999999999999</v>
      </c>
      <c r="F88" s="235">
        <f>E88/E86</f>
        <v>0.40935813555482176</v>
      </c>
      <c r="H88" s="255">
        <f>Inputs!F98</f>
        <v>0.23089999999999999</v>
      </c>
      <c r="I88" s="235">
        <f>H88/H86</f>
        <v>0.40935813555482176</v>
      </c>
      <c r="K88" s="75"/>
    </row>
    <row r="89" spans="1:11" ht="15" customHeight="1" x14ac:dyDescent="0.35">
      <c r="B89" s="3" t="s">
        <v>193</v>
      </c>
      <c r="C89" s="232">
        <f>C88*Exchange_Rate/Dashboard!G3</f>
        <v>8.8402897443512166E-2</v>
      </c>
      <c r="D89" s="98"/>
      <c r="E89" s="232">
        <f>E88*Exchange_Rate/Dashboard!G3</f>
        <v>5.8774054188617787E-2</v>
      </c>
      <c r="F89" s="98"/>
      <c r="H89" s="232">
        <f>H88*Exchange_Rate/Dashboard!G3</f>
        <v>5.8774054188617787E-2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268</v>
      </c>
      <c r="C92" s="258" t="str">
        <f>Inputs!C15</f>
        <v>CN</v>
      </c>
      <c r="D92" s="83" t="s">
        <v>269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17.065827223652867</v>
      </c>
      <c r="H93" s="3" t="s">
        <v>182</v>
      </c>
      <c r="I93" s="237">
        <f>FV(H87,D93,0,-(H86/(C93-D94)))*Exchange_Rate</f>
        <v>17.065827223652867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5.1331459683340617</v>
      </c>
      <c r="H94" s="3" t="s">
        <v>183</v>
      </c>
      <c r="I94" s="237">
        <f>FV(H89,D93,0,-(H88/(C93-D94)))*Exchange_Rate</f>
        <v>5.1331459683340617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3414939.1903467863</v>
      </c>
      <c r="D97" s="244"/>
      <c r="E97" s="245">
        <f>PV(C94,D93,0,-F93)</f>
        <v>9.7574421038534727</v>
      </c>
      <c r="F97" s="244"/>
      <c r="H97" s="245">
        <f>PV(C94,D93,0,-I93)</f>
        <v>9.7574421038534727</v>
      </c>
      <c r="I97" s="245">
        <f>PV(C93,D93,0,-I93)</f>
        <v>12.543892472051272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8.293825788275452</v>
      </c>
      <c r="E100" s="251">
        <f>MAX(E97+H98+E99,0)</f>
        <v>9.7574421038534727</v>
      </c>
      <c r="F100" s="251">
        <f>(E100+H100)/2</f>
        <v>9.7574421038534727</v>
      </c>
      <c r="H100" s="251">
        <f>MAX(H97+H98+H99,0)</f>
        <v>9.7574421038534727</v>
      </c>
      <c r="I100" s="251">
        <f>MAX(I97+H98+H99,0)</f>
        <v>12.543892472051272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270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2.4946589373731247</v>
      </c>
      <c r="E103" s="245">
        <f>PV(C94,D93,0,-F94)</f>
        <v>2.9348928674977937</v>
      </c>
      <c r="F103" s="251">
        <f>(E103+H103)/2</f>
        <v>2.9348928674977937</v>
      </c>
      <c r="H103" s="245">
        <f>PV(C94,D93,0,-I94)</f>
        <v>2.9348928674977937</v>
      </c>
      <c r="I103" s="251">
        <f>PV(C93,D93,0,-I94)</f>
        <v>3.7730155254872928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5.3942423628242882</v>
      </c>
      <c r="E106" s="245">
        <f>(E100+E103)/2</f>
        <v>6.3461674856756334</v>
      </c>
      <c r="F106" s="251">
        <f>(F100+F103)/2</f>
        <v>6.3461674856756334</v>
      </c>
      <c r="H106" s="245">
        <f>(H100+H103)/2</f>
        <v>6.3461674856756334</v>
      </c>
      <c r="I106" s="245">
        <f>(I100+I103)/2</f>
        <v>8.1584539987692821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271</v>
      </c>
      <c r="C108" s="259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263</v>
      </c>
      <c r="C2" s="1"/>
    </row>
    <row r="3" spans="2:3" x14ac:dyDescent="0.35">
      <c r="B3" s="62"/>
      <c r="C3" s="62"/>
    </row>
    <row r="4" spans="2:3" x14ac:dyDescent="0.35">
      <c r="B4" s="60" t="s">
        <v>261</v>
      </c>
      <c r="C4" s="61" t="s">
        <v>262</v>
      </c>
    </row>
    <row r="5" spans="2:3" x14ac:dyDescent="0.35">
      <c r="B5" s="60"/>
      <c r="C5" s="61"/>
    </row>
    <row r="6" spans="2:3" x14ac:dyDescent="0.35">
      <c r="B6" s="63" t="s">
        <v>264</v>
      </c>
      <c r="C6" s="64" t="s">
        <v>265</v>
      </c>
    </row>
    <row r="7" spans="2:3" x14ac:dyDescent="0.35">
      <c r="B7" s="63"/>
      <c r="C7" s="64"/>
    </row>
    <row r="8" spans="2:3" x14ac:dyDescent="0.35">
      <c r="B8" s="290"/>
      <c r="C8" s="65" t="s">
        <v>266</v>
      </c>
    </row>
    <row r="10" spans="2:3" x14ac:dyDescent="0.35">
      <c r="B10" s="283" t="s">
        <v>267</v>
      </c>
    </row>
    <row r="11" spans="2:3" x14ac:dyDescent="0.35">
      <c r="B11" s="284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2025-01-14T02:29:35Z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